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snik.sylejmani.MUN\Desktop\Barazimet mujore 2022\"/>
    </mc:Choice>
  </mc:AlternateContent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externalReferences>
    <externalReference r:id="rId4"/>
  </externalReferences>
  <definedNames>
    <definedName name="_xlnm.Print_Area" localSheetId="0">PAGESAT!$A$1:$V$5</definedName>
    <definedName name="_xlnm.Print_Area" localSheetId="1">PRANIMET!$A$1:$L$29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6" l="1"/>
  <c r="Q23" i="6"/>
  <c r="C20" i="12"/>
  <c r="C21" i="12"/>
  <c r="C22" i="12"/>
  <c r="C23" i="12"/>
  <c r="C24" i="12"/>
  <c r="C25" i="12"/>
  <c r="C26" i="12"/>
  <c r="C27" i="12"/>
  <c r="C28" i="12"/>
  <c r="L19" i="12" l="1"/>
  <c r="K19" i="12"/>
  <c r="C19" i="12" s="1"/>
  <c r="G19" i="12"/>
  <c r="Q28" i="6" l="1"/>
  <c r="Q29" i="6"/>
  <c r="Q24" i="6"/>
  <c r="Q25" i="6"/>
  <c r="Q26" i="6"/>
  <c r="Q27" i="6"/>
  <c r="G20" i="6"/>
  <c r="K19" i="6"/>
  <c r="E20" i="6" l="1"/>
  <c r="Q20" i="6" l="1"/>
  <c r="Q21" i="6"/>
  <c r="Q30" i="6"/>
  <c r="K20" i="6"/>
  <c r="K21" i="6"/>
  <c r="K23" i="6"/>
  <c r="K24" i="6"/>
  <c r="K25" i="6"/>
  <c r="C25" i="6" s="1"/>
  <c r="K26" i="6"/>
  <c r="C26" i="6" s="1"/>
  <c r="K27" i="6"/>
  <c r="K28" i="6"/>
  <c r="K29" i="6"/>
  <c r="C29" i="6" s="1"/>
  <c r="K30" i="6"/>
  <c r="C30" i="6" s="1"/>
  <c r="E21" i="6"/>
  <c r="E22" i="6"/>
  <c r="E23" i="6"/>
  <c r="E24" i="6"/>
  <c r="E25" i="6"/>
  <c r="E26" i="6"/>
  <c r="E27" i="6"/>
  <c r="E28" i="6"/>
  <c r="E29" i="6"/>
  <c r="E30" i="6"/>
  <c r="Q19" i="6"/>
  <c r="E19" i="6"/>
  <c r="Q17" i="6"/>
  <c r="K17" i="6"/>
  <c r="G17" i="6"/>
  <c r="F17" i="6"/>
  <c r="E17" i="6" s="1"/>
  <c r="Q16" i="6"/>
  <c r="K16" i="6"/>
  <c r="G16" i="6"/>
  <c r="E16" i="6"/>
  <c r="C16" i="6" s="1"/>
  <c r="D16" i="6"/>
  <c r="Q15" i="6"/>
  <c r="K15" i="6"/>
  <c r="E15" i="6"/>
  <c r="D15" i="6" s="1"/>
  <c r="Q14" i="6"/>
  <c r="N14" i="6"/>
  <c r="K14" i="6" s="1"/>
  <c r="D14" i="6" s="1"/>
  <c r="F14" i="6"/>
  <c r="E14" i="6"/>
  <c r="C14" i="6" s="1"/>
  <c r="Q13" i="6"/>
  <c r="K13" i="6"/>
  <c r="E13" i="6"/>
  <c r="D13" i="6" s="1"/>
  <c r="Q12" i="6"/>
  <c r="K12" i="6"/>
  <c r="D12" i="6" s="1"/>
  <c r="E12" i="6"/>
  <c r="Q11" i="6"/>
  <c r="D11" i="6" s="1"/>
  <c r="K11" i="6"/>
  <c r="E11" i="6"/>
  <c r="C11" i="6"/>
  <c r="Q10" i="6"/>
  <c r="K10" i="6"/>
  <c r="E10" i="6"/>
  <c r="C10" i="6" s="1"/>
  <c r="D10" i="6"/>
  <c r="Q9" i="6"/>
  <c r="K9" i="6"/>
  <c r="E9" i="6"/>
  <c r="D9" i="6" s="1"/>
  <c r="Q8" i="6"/>
  <c r="K8" i="6"/>
  <c r="D8" i="6" s="1"/>
  <c r="E8" i="6"/>
  <c r="Q7" i="6"/>
  <c r="D7" i="6" s="1"/>
  <c r="K7" i="6"/>
  <c r="E7" i="6"/>
  <c r="C7" i="6"/>
  <c r="Q6" i="6"/>
  <c r="K6" i="6"/>
  <c r="E6" i="6"/>
  <c r="C6" i="6" s="1"/>
  <c r="D6" i="6"/>
  <c r="C22" i="6" l="1"/>
  <c r="C21" i="6"/>
  <c r="C19" i="6"/>
  <c r="C28" i="6"/>
  <c r="C20" i="6"/>
  <c r="C27" i="6"/>
  <c r="C23" i="6"/>
  <c r="C24" i="6"/>
  <c r="D17" i="6"/>
  <c r="C17" i="6"/>
  <c r="C8" i="6"/>
  <c r="C12" i="6"/>
  <c r="C9" i="6"/>
  <c r="C13" i="6"/>
  <c r="C15" i="6"/>
  <c r="K17" i="12" l="1"/>
  <c r="K31" i="6" l="1"/>
  <c r="F31" i="6"/>
  <c r="G31" i="6"/>
  <c r="H31" i="6"/>
  <c r="I31" i="6"/>
  <c r="J31" i="6"/>
  <c r="L31" i="6"/>
  <c r="M31" i="6"/>
  <c r="N31" i="6"/>
  <c r="O31" i="6"/>
  <c r="P31" i="6"/>
  <c r="R31" i="6"/>
  <c r="S31" i="6"/>
  <c r="T31" i="6"/>
  <c r="U31" i="6"/>
  <c r="V31" i="6"/>
  <c r="Q31" i="6" l="1"/>
  <c r="C18" i="12"/>
  <c r="C17" i="12"/>
  <c r="L18" i="12"/>
  <c r="K18" i="12"/>
  <c r="G18" i="12"/>
  <c r="L17" i="12"/>
  <c r="G17" i="12"/>
  <c r="L15" i="12"/>
  <c r="K15" i="12"/>
  <c r="G15" i="12"/>
  <c r="D31" i="6" l="1"/>
  <c r="E31" i="6"/>
  <c r="C31" i="6" s="1"/>
  <c r="L14" i="12"/>
  <c r="K14" i="12"/>
  <c r="G14" i="12"/>
  <c r="C14" i="12"/>
  <c r="C15" i="12" l="1"/>
  <c r="L13" i="12" l="1"/>
  <c r="K13" i="12"/>
  <c r="G13" i="12"/>
  <c r="L12" i="12" l="1"/>
  <c r="K12" i="12"/>
  <c r="G12" i="12"/>
  <c r="L11" i="12" l="1"/>
  <c r="K11" i="12"/>
  <c r="G11" i="12"/>
  <c r="V18" i="6" l="1"/>
  <c r="U18" i="6"/>
  <c r="T18" i="6"/>
  <c r="S18" i="6"/>
  <c r="P18" i="6"/>
  <c r="O18" i="6"/>
  <c r="N18" i="6"/>
  <c r="M18" i="6"/>
  <c r="L18" i="6"/>
  <c r="J18" i="6"/>
  <c r="I18" i="6"/>
  <c r="H18" i="6"/>
  <c r="F18" i="6"/>
  <c r="R18" i="6"/>
  <c r="G18" i="6" l="1"/>
  <c r="Q18" i="6"/>
  <c r="K18" i="6"/>
  <c r="L10" i="12"/>
  <c r="K10" i="12"/>
  <c r="G10" i="12"/>
  <c r="L9" i="12"/>
  <c r="H5" i="12"/>
  <c r="H4" i="12"/>
  <c r="H6" i="12"/>
  <c r="D18" i="6" l="1"/>
  <c r="E18" i="6"/>
  <c r="C18" i="6" s="1"/>
  <c r="K9" i="12"/>
  <c r="G9" i="12"/>
  <c r="L8" i="12"/>
  <c r="K8" i="12"/>
  <c r="G8" i="12"/>
  <c r="L6" i="12" l="1"/>
  <c r="K6" i="12"/>
  <c r="G6" i="12"/>
  <c r="L29" i="12" l="1"/>
  <c r="K29" i="12"/>
  <c r="J29" i="12"/>
  <c r="I29" i="12"/>
  <c r="H29" i="12"/>
  <c r="G29" i="12"/>
  <c r="F29" i="12"/>
  <c r="E29" i="12"/>
  <c r="D29" i="12"/>
  <c r="C29" i="12"/>
  <c r="J16" i="12"/>
  <c r="I16" i="12"/>
  <c r="H16" i="12"/>
  <c r="F16" i="12"/>
  <c r="E16" i="12"/>
  <c r="D16" i="12"/>
  <c r="C13" i="12"/>
  <c r="C12" i="12"/>
  <c r="C11" i="12"/>
  <c r="C10" i="12"/>
  <c r="C9" i="12"/>
  <c r="C8" i="12"/>
  <c r="L7" i="12"/>
  <c r="K7" i="12"/>
  <c r="G7" i="12"/>
  <c r="C7" i="12" s="1"/>
  <c r="C6" i="12"/>
  <c r="L5" i="12"/>
  <c r="K5" i="12"/>
  <c r="G5" i="12"/>
  <c r="C5" i="12" s="1"/>
  <c r="L4" i="12"/>
  <c r="L16" i="12" s="1"/>
  <c r="K4" i="12"/>
  <c r="G4" i="12"/>
  <c r="G16" i="12" l="1"/>
  <c r="K16" i="12"/>
  <c r="C4" i="12"/>
  <c r="C16" i="12" l="1"/>
  <c r="J5" i="6"/>
  <c r="I5" i="6"/>
  <c r="H5" i="6"/>
  <c r="G5" i="6"/>
  <c r="F5" i="6"/>
  <c r="E5" i="6"/>
  <c r="D5" i="6"/>
  <c r="C5" i="6"/>
  <c r="A1" i="6"/>
  <c r="B3" i="12" l="1"/>
  <c r="C3" i="12"/>
  <c r="D3" i="12"/>
  <c r="A3" i="12"/>
  <c r="A1" i="12"/>
</calcChain>
</file>

<file path=xl/sharedStrings.xml><?xml version="1.0" encoding="utf-8"?>
<sst xmlns="http://schemas.openxmlformats.org/spreadsheetml/2006/main" count="1004" uniqueCount="883">
  <si>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</si>
  <si>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</si>
  <si>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</si>
  <si>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</si>
  <si>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</si>
  <si>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</si>
  <si>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</si>
  <si>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</si>
  <si>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</si>
  <si>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</si>
  <si>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</si>
  <si>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</si>
  <si>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</si>
  <si>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</si>
  <si>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</si>
  <si>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</si>
  <si>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</si>
  <si>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</si>
  <si>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</si>
  <si>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</si>
  <si>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</si>
  <si>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</si>
  <si>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</si>
  <si>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</si>
  <si>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</si>
  <si>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</si>
  <si>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</si>
  <si>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</si>
  <si>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</si>
  <si>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</si>
  <si>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</si>
  <si>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</si>
  <si>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</si>
  <si>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</si>
  <si>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</si>
  <si>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</si>
  <si>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</si>
  <si>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</si>
  <si>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</si>
  <si>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</si>
  <si>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</si>
  <si>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</si>
  <si>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</si>
  <si>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</si>
  <si>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</si>
  <si>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</si>
  <si>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</si>
  <si>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</si>
  <si>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</si>
  <si>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</si>
  <si>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</si>
  <si>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</si>
  <si>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</si>
  <si>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</si>
  <si>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</si>
  <si>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</si>
  <si>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</si>
  <si>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</si>
  <si>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</si>
  <si>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</si>
  <si>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</si>
  <si>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</si>
  <si>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</si>
  <si>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</si>
  <si>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</si>
  <si>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</si>
  <si>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</si>
  <si>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</si>
  <si>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</si>
  <si>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</si>
  <si>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</si>
  <si>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</si>
  <si>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</si>
  <si>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</si>
  <si>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</si>
  <si>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</si>
  <si>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</si>
  <si>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</si>
  <si>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</si>
  <si>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</si>
  <si>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</si>
  <si>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</si>
  <si>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</si>
  <si>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</si>
  <si>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</si>
  <si>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</si>
  <si>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</si>
  <si>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</si>
  <si>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</si>
  <si>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</si>
  <si>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</si>
  <si>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</si>
  <si>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</si>
  <si>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</si>
  <si>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</si>
  <si>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</si>
  <si>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</si>
  <si>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</si>
  <si>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</si>
  <si>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</si>
  <si>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</si>
  <si>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</si>
  <si>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</si>
  <si>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</si>
  <si>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</si>
  <si>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</si>
  <si>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</si>
  <si>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</si>
  <si>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</si>
  <si>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</si>
  <si>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</si>
  <si>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</si>
  <si>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</si>
  <si>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</si>
  <si>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</si>
  <si>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</si>
  <si>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</si>
  <si>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</si>
  <si>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</si>
  <si>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</si>
  <si>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</si>
  <si>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</si>
  <si>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</si>
  <si>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</si>
  <si>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</si>
  <si>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</si>
  <si>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</si>
  <si>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</si>
  <si>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</si>
  <si>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</si>
  <si>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</si>
  <si>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</si>
  <si>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</si>
  <si>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</si>
  <si>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</si>
  <si>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</si>
  <si>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</si>
  <si>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</si>
  <si>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</si>
  <si>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</si>
  <si>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</si>
  <si>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</si>
  <si>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</si>
  <si>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</si>
  <si>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</si>
  <si>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</si>
  <si>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</si>
  <si>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</si>
  <si>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</si>
  <si>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</si>
  <si>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</si>
  <si>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</si>
  <si>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</si>
  <si>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</si>
  <si>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</si>
  <si>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</si>
  <si>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</si>
  <si>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</si>
  <si>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</si>
  <si>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</si>
  <si>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</si>
  <si>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</si>
  <si>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</si>
  <si>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</si>
  <si>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</si>
  <si>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</si>
  <si>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</si>
  <si>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</si>
  <si>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</si>
  <si>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</si>
  <si>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</si>
  <si>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</si>
  <si>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</si>
  <si>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</si>
  <si>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</si>
  <si>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</si>
  <si>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</si>
  <si>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</si>
  <si>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</si>
  <si>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</si>
  <si>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</si>
  <si>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</si>
  <si>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</si>
  <si>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</si>
  <si>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</si>
  <si>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</si>
  <si>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</si>
  <si>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</si>
  <si>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</si>
  <si>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</si>
  <si>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</si>
  <si>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</si>
  <si>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</si>
  <si>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</si>
  <si>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</si>
  <si>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</si>
  <si>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</si>
  <si>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</si>
  <si>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</si>
  <si>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</si>
  <si>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</si>
  <si>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</si>
  <si>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</si>
  <si>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</si>
  <si>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</si>
  <si>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</si>
  <si>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</si>
  <si>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</si>
  <si>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</si>
  <si>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</si>
  <si>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</si>
  <si>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</si>
  <si>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</si>
  <si>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</si>
  <si>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</si>
  <si>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</si>
  <si>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</si>
  <si>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</si>
  <si>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</si>
  <si>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</si>
  <si>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</si>
  <si>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</si>
  <si>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</si>
  <si>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</si>
  <si>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</si>
  <si>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</si>
  <si>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</si>
  <si>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</si>
  <si>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</si>
  <si>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</si>
  <si>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</si>
  <si>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</si>
  <si>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</si>
  <si>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</si>
  <si>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</si>
  <si>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</si>
  <si>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</si>
  <si>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</si>
  <si>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</si>
  <si>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</si>
  <si>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</si>
  <si>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</si>
  <si>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</si>
  <si>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</si>
  <si>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</si>
  <si>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</si>
  <si>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</si>
  <si>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</si>
  <si>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</si>
  <si>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</si>
  <si>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</si>
  <si>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</si>
  <si>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</si>
  <si>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</si>
  <si>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</si>
  <si>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</si>
  <si>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</si>
  <si>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</si>
  <si>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</si>
  <si>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</si>
  <si>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</si>
  <si>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</si>
  <si>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</si>
  <si>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</si>
  <si>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</si>
  <si>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</si>
  <si>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</si>
  <si>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</si>
  <si>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</si>
  <si>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</si>
  <si>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</si>
  <si>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</si>
  <si>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</si>
  <si>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</si>
  <si>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</si>
  <si>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</si>
  <si>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</si>
  <si>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</si>
  <si>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</si>
  <si>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</si>
  <si>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</si>
  <si>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</si>
  <si>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</si>
  <si>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</si>
  <si>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</si>
  <si>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</si>
  <si>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</si>
  <si>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</si>
  <si>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</si>
  <si>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</si>
  <si>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</si>
  <si>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</si>
  <si>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</si>
  <si>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</si>
  <si>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</si>
  <si>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</si>
  <si>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</si>
  <si>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</si>
  <si>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</si>
  <si>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</si>
  <si>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</si>
  <si>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</si>
  <si>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</si>
  <si>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</si>
  <si>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</si>
  <si>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</si>
  <si>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</si>
  <si>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</si>
  <si>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</si>
  <si>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</si>
  <si>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</si>
  <si>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</si>
  <si>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</si>
  <si>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</si>
  <si>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</si>
  <si>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</si>
  <si>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</si>
  <si>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</si>
  <si>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</si>
  <si>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</si>
  <si>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</si>
  <si>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</si>
  <si>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</si>
  <si>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</si>
  <si>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</si>
  <si>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</si>
  <si>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</si>
  <si>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</si>
  <si>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</si>
  <si>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</si>
  <si>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</si>
  <si>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</si>
  <si>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</si>
  <si>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</si>
  <si>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</si>
  <si>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</si>
  <si>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</si>
  <si>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</si>
  <si>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</si>
  <si>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</si>
  <si>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</si>
  <si>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</si>
  <si>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</si>
  <si>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</si>
  <si>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</si>
  <si>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</si>
  <si>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</si>
  <si>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</si>
  <si>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</si>
  <si>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</si>
  <si>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</si>
  <si>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</si>
  <si>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</si>
  <si>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</si>
  <si>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</si>
  <si>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</si>
  <si>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</si>
  <si>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</si>
  <si>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</si>
  <si>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</si>
  <si>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</si>
  <si>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</si>
  <si>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</si>
  <si>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</si>
  <si>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</si>
  <si>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</si>
  <si>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</si>
  <si>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</si>
  <si>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</si>
  <si>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</si>
  <si>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</si>
  <si>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</si>
  <si>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</si>
  <si>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</si>
  <si>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</si>
  <si>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</si>
  <si>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</si>
  <si>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</si>
  <si>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</si>
  <si>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</si>
  <si>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</si>
  <si>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</si>
  <si>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</si>
  <si>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</si>
  <si>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</si>
  <si>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</si>
  <si>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</si>
  <si>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</si>
  <si>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</si>
  <si>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</si>
  <si>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</si>
  <si>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</si>
  <si>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</si>
  <si>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</si>
  <si>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</si>
  <si>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</si>
  <si>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</si>
  <si>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</si>
  <si>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</si>
  <si>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</si>
  <si>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</si>
  <si>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</si>
  <si>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</si>
  <si>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</si>
  <si>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</si>
  <si>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</si>
  <si>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</si>
  <si>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</si>
  <si>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</si>
  <si>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</si>
  <si>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</si>
  <si>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</si>
  <si>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</si>
  <si>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</si>
  <si>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</si>
  <si>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</si>
  <si>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</si>
  <si>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</si>
  <si>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</si>
  <si>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</si>
  <si>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</si>
  <si>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</si>
  <si>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</si>
  <si>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</si>
  <si>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</si>
  <si>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</si>
  <si>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</si>
  <si>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</si>
  <si>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</si>
  <si>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</si>
  <si>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</si>
  <si>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</si>
  <si>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</si>
  <si>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</si>
  <si>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</si>
  <si>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</si>
  <si>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</si>
  <si>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</si>
  <si>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</si>
  <si>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</si>
  <si>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</si>
  <si>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</si>
  <si>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</si>
  <si>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</si>
  <si>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</si>
  <si>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</si>
  <si>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</si>
  <si>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</si>
  <si>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</si>
  <si>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</si>
  <si>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</si>
  <si>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</si>
  <si>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</si>
  <si>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</si>
  <si>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</si>
  <si>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</si>
  <si>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</si>
  <si>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</si>
  <si>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</si>
  <si>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</si>
  <si>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</si>
  <si>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</si>
  <si>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</si>
  <si>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</si>
  <si>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</si>
  <si>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</si>
  <si>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</si>
  <si>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</si>
  <si>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</si>
  <si>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</si>
  <si>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</si>
  <si>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</si>
  <si>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</si>
  <si>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</si>
  <si>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</si>
  <si>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</si>
  <si>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</si>
  <si>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</si>
  <si>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</si>
  <si>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</si>
  <si>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</si>
  <si>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</si>
  <si>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</si>
  <si>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</si>
  <si>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</si>
  <si>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</si>
  <si>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</si>
  <si>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</si>
  <si>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</si>
  <si>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</si>
  <si>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</si>
  <si>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</si>
  <si>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</si>
  <si>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</si>
  <si>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</si>
  <si>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</si>
  <si>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</si>
  <si>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</si>
  <si>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</si>
  <si>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</si>
  <si>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</si>
  <si>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</si>
  <si>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</si>
  <si>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</si>
  <si>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</si>
  <si>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</si>
  <si>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</si>
  <si>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</si>
  <si>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</si>
  <si>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</si>
  <si>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</si>
  <si>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</si>
  <si>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</si>
  <si>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</si>
  <si>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</si>
  <si>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</si>
  <si>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</si>
  <si>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</si>
  <si>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</si>
  <si>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</si>
  <si>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</si>
  <si>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</si>
  <si>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</si>
  <si>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</si>
  <si>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</si>
  <si>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</si>
  <si>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</si>
  <si>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</si>
  <si>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</si>
  <si>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</si>
  <si>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</si>
  <si>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</si>
  <si>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</si>
  <si>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</si>
  <si>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</si>
  <si>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</si>
  <si>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</si>
  <si>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</si>
  <si>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</si>
  <si>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</si>
  <si>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</si>
  <si>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</si>
  <si>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</si>
  <si>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</si>
  <si>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</si>
  <si>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</si>
  <si>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</si>
  <si>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</si>
  <si>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</si>
  <si>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</si>
  <si>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</si>
  <si>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</si>
  <si>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</si>
  <si>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</si>
  <si>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</si>
  <si>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</si>
  <si>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</si>
  <si>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</si>
  <si>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</si>
  <si>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</si>
  <si>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</si>
  <si>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</si>
  <si>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</si>
  <si>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</si>
  <si>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</si>
  <si>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</si>
  <si>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</si>
  <si>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</si>
  <si>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</si>
  <si>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</si>
  <si>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</si>
  <si>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</si>
  <si>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</si>
  <si>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</si>
  <si>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</si>
  <si>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</si>
  <si>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</si>
  <si>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</si>
  <si>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</si>
  <si>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</si>
  <si>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</si>
  <si>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</si>
  <si>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</si>
  <si>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</si>
  <si>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</si>
  <si>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</si>
  <si>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</si>
  <si>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</si>
  <si>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</si>
  <si>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</si>
  <si>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</si>
  <si>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</si>
  <si>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</si>
  <si>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</si>
  <si>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</si>
  <si>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</si>
  <si>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</si>
  <si>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</si>
  <si>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</si>
  <si>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</si>
  <si>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</si>
  <si>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</si>
  <si>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</si>
  <si>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</si>
  <si>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</si>
  <si>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</si>
  <si>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</si>
  <si>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</si>
  <si>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</si>
  <si>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</si>
  <si>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</si>
  <si>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</si>
  <si>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</si>
  <si>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</si>
  <si>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</si>
  <si>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</si>
  <si>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</si>
  <si>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</si>
  <si>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</si>
  <si>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</si>
  <si>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</si>
  <si>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</si>
  <si>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</si>
  <si>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</si>
  <si>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</si>
  <si>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</si>
  <si>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</si>
  <si>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</si>
  <si>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</si>
  <si>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</si>
  <si>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</si>
  <si>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</si>
  <si>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</si>
  <si>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</si>
  <si>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</si>
  <si>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</si>
  <si>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</si>
  <si>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</si>
  <si>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</si>
  <si>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</si>
  <si>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</si>
  <si>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</si>
  <si>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</si>
  <si>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</si>
  <si>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</si>
  <si>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</si>
  <si>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</si>
  <si>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</si>
  <si>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</si>
  <si>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</si>
  <si>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</si>
  <si>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</si>
  <si>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</si>
  <si>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</si>
  <si>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</si>
  <si>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</si>
  <si>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</si>
  <si>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</si>
  <si>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</si>
  <si>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</si>
  <si>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</si>
  <si>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</si>
  <si>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</si>
  <si>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</si>
  <si>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</si>
  <si>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</si>
  <si>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</si>
  <si>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</si>
  <si>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</si>
  <si>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</si>
  <si>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</si>
  <si>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</si>
  <si>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</si>
  <si>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</si>
  <si>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</si>
  <si>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</si>
  <si>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</si>
  <si>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</si>
  <si>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</si>
  <si>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</si>
  <si>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</si>
  <si>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</si>
  <si>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</si>
  <si>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</si>
  <si>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</si>
  <si>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</si>
  <si>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</si>
  <si>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</si>
  <si>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</si>
  <si>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</si>
  <si>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</si>
  <si>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</si>
  <si>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</si>
  <si>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</si>
  <si>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</si>
  <si>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</si>
  <si>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</si>
  <si>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</si>
  <si>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</si>
  <si>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</si>
  <si>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</si>
  <si>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</si>
  <si>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</si>
  <si>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</si>
  <si>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</si>
  <si>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</si>
  <si>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</si>
  <si>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</si>
  <si>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</si>
  <si>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</si>
  <si>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</si>
  <si>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</si>
  <si>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</si>
  <si>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</si>
  <si>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</si>
  <si>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</si>
  <si>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</si>
  <si>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</si>
  <si>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</si>
  <si>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</si>
  <si>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</si>
  <si>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</si>
  <si>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</si>
  <si>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</si>
  <si>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</si>
  <si>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</si>
  <si>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</si>
  <si>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</si>
  <si>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</si>
  <si>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</si>
  <si>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</si>
  <si>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</si>
  <si>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</si>
  <si>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</si>
  <si>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</si>
  <si>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</si>
  <si>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</si>
  <si>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</si>
  <si>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</si>
  <si>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</si>
  <si>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</si>
  <si>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</si>
  <si>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</si>
  <si>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</si>
  <si>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</si>
  <si>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</si>
  <si>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</si>
  <si>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</si>
  <si>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</si>
  <si>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</si>
  <si>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</si>
  <si>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</si>
  <si>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</si>
  <si>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</si>
  <si>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</si>
  <si>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</si>
  <si>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</si>
  <si>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</si>
  <si>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</si>
  <si>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</si>
  <si>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</si>
  <si>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</si>
  <si>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</si>
  <si>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</si>
  <si>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</si>
  <si>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</si>
  <si>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</si>
  <si>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</si>
  <si>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</si>
  <si>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</si>
  <si>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</si>
  <si>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</si>
  <si>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</si>
  <si>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</si>
  <si>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</si>
  <si>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</si>
  <si>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</si>
  <si>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</si>
  <si>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</si>
  <si>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</si>
  <si>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</si>
  <si>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</si>
  <si>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</si>
  <si>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</si>
  <si>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</si>
  <si>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</si>
  <si>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</si>
  <si>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</si>
  <si>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</si>
  <si>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</si>
  <si>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</si>
  <si>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</si>
  <si>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</si>
  <si>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</si>
  <si>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</si>
  <si>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</si>
  <si>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</si>
  <si>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</si>
  <si>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</si>
  <si>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</si>
  <si>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</si>
  <si>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</si>
  <si>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</si>
  <si>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</si>
  <si>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</si>
  <si>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</si>
  <si>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</si>
  <si>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</si>
  <si>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</si>
  <si>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</si>
  <si>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</si>
  <si>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</si>
  <si>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</si>
  <si>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</si>
  <si>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</si>
  <si>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</si>
  <si>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</si>
  <si>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</si>
  <si>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</si>
  <si>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</si>
  <si>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</si>
  <si>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</si>
  <si>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</si>
  <si>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</si>
  <si>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</si>
  <si>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</si>
  <si>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</si>
  <si>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</si>
  <si>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</si>
  <si>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</si>
  <si>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</si>
  <si>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</si>
  <si>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</si>
  <si>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</si>
  <si>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</si>
  <si>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</si>
  <si>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</si>
  <si>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</si>
  <si>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</si>
  <si>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</si>
  <si>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</si>
  <si>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</si>
  <si>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</si>
  <si>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</si>
  <si>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</si>
  <si>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</si>
  <si>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</si>
  <si>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</si>
  <si>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</si>
  <si>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</si>
  <si>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</si>
  <si>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</si>
  <si>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</si>
  <si>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</si>
  <si>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</si>
  <si>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</si>
  <si>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</si>
  <si>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</si>
  <si>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</si>
  <si>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</si>
  <si>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</si>
  <si>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</si>
  <si>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</si>
  <si>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</si>
  <si>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</si>
  <si>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</si>
  <si>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</si>
  <si>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</si>
  <si>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</si>
  <si>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</si>
  <si>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</si>
  <si>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</si>
  <si>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</si>
  <si>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</si>
  <si>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</si>
  <si>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</si>
  <si>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</si>
  <si>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</si>
  <si>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</si>
  <si>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2021 Mars</t>
  </si>
  <si>
    <t>2021 Nëntor</t>
  </si>
  <si>
    <t>2022 Mars</t>
  </si>
  <si>
    <t>2022 Nëntor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</si>
</sst>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1" applyBorder="0"/>
  </cellStyleXfs>
  <cellXfs count="1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17" fillId="34" borderId="10" xfId="1" applyNumberFormat="1" applyFont="1" applyFill="1" applyBorder="1"/>
    <xf numFmtId="165" fontId="21" fillId="0" borderId="10" xfId="1" applyNumberFormat="1" applyFont="1" applyBorder="1" applyAlignment="1">
      <alignment horizontal="right"/>
    </xf>
    <xf numFmtId="165" fontId="17" fillId="34" borderId="10" xfId="1" applyNumberFormat="1" applyFont="1" applyFill="1" applyBorder="1"/>
    <xf numFmtId="4" fontId="17" fillId="34" borderId="10" xfId="1" applyNumberFormat="1" applyFont="1" applyFill="1" applyBorder="1"/>
    <xf numFmtId="4" fontId="17" fillId="34" borderId="10" xfId="1" applyNumberFormat="1" applyFont="1" applyFill="1" applyBorder="1" applyAlignment="1">
      <alignment horizontal="center"/>
    </xf>
    <xf numFmtId="0" fontId="17" fillId="2" borderId="15" xfId="0" applyFont="1" applyFill="1" applyBorder="1" applyAlignment="1" applyProtection="1">
      <alignment horizontal="center"/>
      <protection hidden="1"/>
    </xf>
    <xf numFmtId="165" fontId="1" fillId="0" borderId="10" xfId="1" applyNumberFormat="1" applyFont="1" applyBorder="1" applyAlignment="1">
      <alignment horizontal="right"/>
    </xf>
    <xf numFmtId="165" fontId="1" fillId="0" borderId="10" xfId="1" applyNumberFormat="1" applyFont="1" applyBorder="1"/>
    <xf numFmtId="4" fontId="1" fillId="0" borderId="10" xfId="1" applyNumberFormat="1" applyFont="1" applyBorder="1" applyAlignment="1">
      <alignment horizontal="right"/>
    </xf>
    <xf numFmtId="4" fontId="1" fillId="0" borderId="10" xfId="1" applyNumberFormat="1" applyFont="1" applyBorder="1"/>
    <xf numFmtId="0" fontId="17" fillId="34" borderId="13" xfId="0" applyFont="1" applyFill="1" applyBorder="1" applyProtection="1">
      <protection hidden="1"/>
    </xf>
    <xf numFmtId="166" fontId="1" fillId="0" borderId="10" xfId="1" applyNumberFormat="1" applyFont="1" applyBorder="1" applyAlignment="1">
      <alignment horizontal="right"/>
    </xf>
    <xf numFmtId="0" fontId="0" fillId="0" borderId="10" xfId="0" applyBorder="1" applyProtection="1">
      <protection hidden="1"/>
    </xf>
    <xf numFmtId="0" fontId="0" fillId="0" borderId="0" xfId="0" applyProtection="1">
      <protection hidden="1"/>
    </xf>
    <xf numFmtId="0" fontId="0" fillId="0" borderId="12" xfId="0" applyBorder="1" applyProtection="1">
      <protection hidden="1"/>
    </xf>
    <xf numFmtId="165" fontId="21" fillId="38" borderId="10" xfId="1" applyNumberFormat="1" applyFont="1" applyFill="1" applyBorder="1" applyAlignment="1">
      <alignment horizontal="right"/>
    </xf>
    <xf numFmtId="165" fontId="21" fillId="2" borderId="10" xfId="119" applyNumberFormat="1" applyFont="1" applyFill="1" applyBorder="1" applyAlignment="1">
      <alignment horizontal="right"/>
    </xf>
    <xf numFmtId="165" fontId="21" fillId="38" borderId="10" xfId="119" applyNumberFormat="1" applyFont="1" applyFill="1" applyBorder="1" applyAlignment="1">
      <alignment horizontal="right"/>
    </xf>
    <xf numFmtId="165" fontId="21" fillId="2" borderId="10" xfId="0" applyNumberFormat="1" applyFont="1" applyFill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3" fontId="0" fillId="2" borderId="0" xfId="0" applyNumberFormat="1" applyFont="1" applyFill="1"/>
    <xf numFmtId="43" fontId="0" fillId="0" borderId="10" xfId="1" applyNumberFormat="1" applyFont="1" applyBorder="1" applyProtection="1">
      <protection hidden="1"/>
    </xf>
    <xf numFmtId="43" fontId="1" fillId="2" borderId="29" xfId="1" applyNumberFormat="1" applyFont="1" applyFill="1" applyBorder="1" applyAlignment="1" applyProtection="1">
      <alignment horizontal="center"/>
      <protection hidden="1"/>
    </xf>
    <xf numFmtId="43" fontId="24" fillId="0" borderId="10" xfId="1" applyNumberFormat="1" applyFont="1" applyBorder="1" applyProtection="1">
      <protection hidden="1"/>
    </xf>
    <xf numFmtId="43" fontId="1" fillId="2" borderId="10" xfId="1" applyNumberFormat="1" applyFont="1" applyFill="1" applyBorder="1" applyAlignment="1" applyProtection="1">
      <alignment horizontal="center"/>
      <protection hidden="1"/>
    </xf>
    <xf numFmtId="43" fontId="0" fillId="0" borderId="0" xfId="1" applyNumberFormat="1" applyFont="1" applyProtection="1">
      <protection hidden="1"/>
    </xf>
    <xf numFmtId="43" fontId="0" fillId="0" borderId="12" xfId="1" applyNumberFormat="1" applyFont="1" applyBorder="1" applyProtection="1">
      <protection hidden="1"/>
    </xf>
    <xf numFmtId="43" fontId="1" fillId="2" borderId="12" xfId="1" applyNumberFormat="1" applyFont="1" applyFill="1" applyBorder="1" applyAlignment="1" applyProtection="1">
      <alignment horizontal="center"/>
      <protection hidden="1"/>
    </xf>
    <xf numFmtId="43" fontId="24" fillId="0" borderId="12" xfId="1" applyNumberFormat="1" applyFont="1" applyBorder="1" applyProtection="1">
      <protection hidden="1"/>
    </xf>
    <xf numFmtId="43" fontId="0" fillId="0" borderId="12" xfId="1" applyNumberFormat="1" applyFont="1" applyFill="1" applyBorder="1" applyProtection="1">
      <protection hidden="1"/>
    </xf>
    <xf numFmtId="43" fontId="1" fillId="2" borderId="33" xfId="1" applyNumberFormat="1" applyFont="1" applyFill="1" applyBorder="1" applyAlignment="1" applyProtection="1">
      <alignment horizontal="center"/>
      <protection hidden="1"/>
    </xf>
    <xf numFmtId="43" fontId="17" fillId="34" borderId="13" xfId="1" applyNumberFormat="1" applyFont="1" applyFill="1" applyBorder="1" applyAlignment="1" applyProtection="1">
      <alignment horizontal="center"/>
      <protection hidden="1"/>
    </xf>
    <xf numFmtId="4" fontId="21" fillId="38" borderId="10" xfId="1" applyNumberFormat="1" applyFont="1" applyFill="1" applyBorder="1" applyAlignment="1">
      <alignment horizontal="right"/>
    </xf>
    <xf numFmtId="4" fontId="21" fillId="2" borderId="10" xfId="119" applyNumberFormat="1" applyFont="1" applyFill="1" applyBorder="1" applyAlignment="1">
      <alignment horizontal="right"/>
    </xf>
    <xf numFmtId="4" fontId="21" fillId="38" borderId="10" xfId="119" applyNumberFormat="1" applyFont="1" applyFill="1" applyBorder="1" applyAlignment="1">
      <alignment horizontal="right"/>
    </xf>
    <xf numFmtId="4" fontId="21" fillId="2" borderId="10" xfId="1" applyNumberFormat="1" applyFont="1" applyFill="1" applyBorder="1" applyAlignment="1">
      <alignment horizontal="right"/>
    </xf>
    <xf numFmtId="4" fontId="21" fillId="0" borderId="10" xfId="1" applyNumberFormat="1" applyFont="1" applyBorder="1" applyAlignment="1">
      <alignment horizontal="right"/>
    </xf>
    <xf numFmtId="4" fontId="21" fillId="2" borderId="10" xfId="0" applyNumberFormat="1" applyFont="1" applyFill="1" applyBorder="1" applyAlignment="1">
      <alignment horizontal="right"/>
    </xf>
    <xf numFmtId="43" fontId="1" fillId="2" borderId="34" xfId="1" applyNumberFormat="1" applyFont="1" applyFill="1" applyBorder="1" applyAlignment="1" applyProtection="1">
      <alignment horizontal="center"/>
      <protection hidden="1"/>
    </xf>
    <xf numFmtId="3" fontId="1" fillId="0" borderId="10" xfId="1" applyNumberFormat="1" applyFont="1" applyBorder="1" applyAlignment="1">
      <alignment horizontal="right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/>
    </xf>
    <xf numFmtId="2" fontId="0" fillId="0" borderId="0" xfId="0" applyNumberFormat="1"/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[1]L!$A$1" fmlaRange="[1]L!$A$2:$A$4" noThreeD="1" sel="0" val="0"/>
</file>

<file path=xl/ctrlProps/ctrlProp3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66675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66675</xdr:colOff>
          <xdr:row>1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utrime.bytyqi/AppData/Local/Microsoft/Windows/Temporary%20Internet%20Files/Content.Outlook/DA3U1Z4O/Copy%20of%20Formati%20Raporti%20mujor%20i%20shpenzimev%20buxhet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>
        <row r="1">
          <cell r="A1">
            <v>1</v>
          </cell>
        </row>
        <row r="2">
          <cell r="G2" t="str">
            <v>Tabela 1: Pagesat</v>
          </cell>
        </row>
        <row r="4">
          <cell r="I4" t="str">
            <v>Gjithsejt Pagesat</v>
          </cell>
          <cell r="J4" t="str">
            <v>Shpenzimet</v>
          </cell>
          <cell r="S4" t="str">
            <v>Qeveria Lokale</v>
          </cell>
          <cell r="T4" t="str">
            <v>Paga</v>
          </cell>
          <cell r="U4" t="str">
            <v>Mallra dhe shërbime</v>
          </cell>
          <cell r="V4" t="str">
            <v>Shpenzime komunale</v>
          </cell>
          <cell r="W4" t="str">
            <v>Subvencione dhe Transfere</v>
          </cell>
          <cell r="X4" t="str">
            <v>Shpenzime Kapitale</v>
          </cell>
        </row>
        <row r="11">
          <cell r="G11" t="str">
            <v>Tabela 1: Plaćanja</v>
          </cell>
        </row>
        <row r="13">
          <cell r="I13" t="str">
            <v>Ukupno plaćanja</v>
          </cell>
          <cell r="J13" t="str">
            <v>Troškovi</v>
          </cell>
          <cell r="S13" t="str">
            <v>Lokalna vlada</v>
          </cell>
          <cell r="T13" t="str">
            <v>Plate</v>
          </cell>
          <cell r="U13" t="str">
            <v>Roba i usluge</v>
          </cell>
          <cell r="V13" t="str">
            <v>Komunalije</v>
          </cell>
          <cell r="W13" t="str">
            <v>Subvencije i transferi</v>
          </cell>
          <cell r="X13" t="str">
            <v>Kapitalni troškovi</v>
          </cell>
        </row>
        <row r="21">
          <cell r="G21" t="str">
            <v>Table 1: Payments</v>
          </cell>
        </row>
        <row r="23">
          <cell r="I23" t="str">
            <v>Total Payments</v>
          </cell>
          <cell r="J23" t="str">
            <v>Budget Expenditures</v>
          </cell>
          <cell r="S23" t="str">
            <v>Local Government</v>
          </cell>
          <cell r="T23" t="str">
            <v>Wages and Salaries</v>
          </cell>
          <cell r="U23" t="str">
            <v>Goods and Services</v>
          </cell>
          <cell r="V23" t="str">
            <v>Utilities</v>
          </cell>
          <cell r="W23" t="str">
            <v>Subventions and Transfers</v>
          </cell>
          <cell r="X23" t="str">
            <v>Capital Investments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31"/>
  <sheetViews>
    <sheetView tabSelected="1" zoomScale="90" zoomScaleNormal="90" zoomScaleSheetLayoutView="80" workbookViewId="0">
      <pane xSplit="2" ySplit="5" topLeftCell="C12" activePane="bottomRight" state="frozen"/>
      <selection pane="topRight" activeCell="B1" sqref="B1"/>
      <selection pane="bottomLeft" activeCell="A6" sqref="A6"/>
      <selection pane="bottomRight" activeCell="L41" sqref="L41"/>
    </sheetView>
  </sheetViews>
  <sheetFormatPr defaultColWidth="9.140625" defaultRowHeight="15" x14ac:dyDescent="0.25"/>
  <cols>
    <col min="1" max="1" width="5.42578125" style="71" customWidth="1"/>
    <col min="2" max="2" width="14.140625" style="71" customWidth="1"/>
    <col min="3" max="3" width="15.28515625" style="71" customWidth="1"/>
    <col min="4" max="4" width="15.140625" style="71" hidden="1" customWidth="1"/>
    <col min="5" max="5" width="14.5703125" style="84" customWidth="1"/>
    <col min="6" max="7" width="15.140625" style="71" bestFit="1" customWidth="1"/>
    <col min="8" max="9" width="12.42578125" style="71" bestFit="1" customWidth="1"/>
    <col min="10" max="10" width="15.28515625" style="71" bestFit="1" customWidth="1"/>
    <col min="11" max="12" width="15.140625" style="71" bestFit="1" customWidth="1"/>
    <col min="13" max="13" width="14.5703125" style="71" customWidth="1"/>
    <col min="14" max="14" width="12.140625" style="71" customWidth="1"/>
    <col min="15" max="15" width="12.140625" style="71" bestFit="1" customWidth="1"/>
    <col min="16" max="16" width="12.42578125" style="71" bestFit="1" customWidth="1"/>
    <col min="17" max="17" width="13.85546875" style="71" customWidth="1"/>
    <col min="18" max="18" width="15.140625" style="71" bestFit="1" customWidth="1"/>
    <col min="19" max="19" width="13.85546875" style="71" bestFit="1" customWidth="1"/>
    <col min="20" max="20" width="11.42578125" style="71" customWidth="1"/>
    <col min="21" max="21" width="12.140625" style="71" bestFit="1" customWidth="1"/>
    <col min="22" max="22" width="12.42578125" style="71" bestFit="1" customWidth="1"/>
    <col min="23" max="16384" width="9.140625" style="71"/>
  </cols>
  <sheetData>
    <row r="1" spans="1:22" ht="26.25" customHeight="1" x14ac:dyDescent="0.25">
      <c r="A1" s="68" t="str">
        <f>IF([1]L!$A$1=1,[1]L!G2,IF([1]L!$A$1=2,[1]L!G11,[1]L!G21))</f>
        <v>Tabela 1: Pagesat</v>
      </c>
      <c r="B1" s="69"/>
      <c r="C1" s="70"/>
      <c r="D1" s="137" t="s">
        <v>609</v>
      </c>
      <c r="E1" s="72"/>
      <c r="F1" s="70"/>
      <c r="G1" s="70"/>
      <c r="H1" s="70"/>
      <c r="I1" s="70"/>
      <c r="J1" s="70"/>
      <c r="M1" s="85"/>
      <c r="N1"/>
      <c r="O1" s="85"/>
      <c r="P1" s="85"/>
      <c r="R1" s="85"/>
    </row>
    <row r="2" spans="1:22" ht="18.75" customHeight="1" x14ac:dyDescent="0.25">
      <c r="A2" s="93" t="s">
        <v>876</v>
      </c>
      <c r="B2" s="73"/>
      <c r="C2" s="73"/>
      <c r="D2" s="138"/>
      <c r="E2" s="74"/>
      <c r="F2" s="74"/>
      <c r="G2" s="74"/>
      <c r="H2" s="74"/>
      <c r="I2" s="74"/>
      <c r="J2" s="74"/>
      <c r="O2" s="85"/>
    </row>
    <row r="3" spans="1:22" s="75" customFormat="1" ht="12.75" customHeight="1" x14ac:dyDescent="0.25">
      <c r="A3" s="139"/>
      <c r="B3" s="139"/>
      <c r="C3" s="76"/>
      <c r="D3" s="99"/>
      <c r="E3" s="77"/>
      <c r="F3" s="78"/>
      <c r="G3" s="78"/>
      <c r="H3" s="78"/>
      <c r="I3" s="78"/>
      <c r="J3" s="79"/>
      <c r="K3" s="77"/>
      <c r="L3" s="78"/>
      <c r="M3" s="78"/>
      <c r="N3" s="78"/>
      <c r="O3" s="78"/>
      <c r="P3" s="79"/>
      <c r="Q3" s="77"/>
      <c r="R3" s="78"/>
      <c r="S3" s="78"/>
      <c r="T3" s="78"/>
      <c r="U3" s="78"/>
      <c r="V3" s="79"/>
    </row>
    <row r="4" spans="1:22" s="75" customFormat="1" ht="12.75" customHeight="1" x14ac:dyDescent="0.25">
      <c r="A4" s="139"/>
      <c r="B4" s="139"/>
      <c r="C4" s="76"/>
      <c r="D4" s="99"/>
      <c r="E4" s="80"/>
      <c r="F4" s="86"/>
      <c r="G4" s="81"/>
      <c r="H4" s="81"/>
      <c r="I4" s="81"/>
      <c r="J4" s="81"/>
      <c r="K4" s="80"/>
      <c r="L4" s="86"/>
      <c r="M4" s="81"/>
      <c r="N4" s="81"/>
      <c r="O4" s="81"/>
      <c r="P4" s="81"/>
      <c r="Q4" s="80"/>
      <c r="R4" s="86"/>
      <c r="S4" s="81"/>
      <c r="T4" s="81"/>
      <c r="U4" s="82"/>
      <c r="V4" s="81"/>
    </row>
    <row r="5" spans="1:22" s="83" customFormat="1" ht="57" customHeight="1" x14ac:dyDescent="0.25">
      <c r="A5" s="140"/>
      <c r="B5" s="140"/>
      <c r="C5" s="82" t="str">
        <f>IF([1]L!$A$1=1,[1]L!I4,IF([1]L!$A$1=2,[1]L!I13,[1]L!I23))</f>
        <v>Gjithsejt Pagesat</v>
      </c>
      <c r="D5" s="82" t="str">
        <f>IF([1]L!$A$1=1,[1]L!J4,IF([1]L!$A$1=2,[1]L!J13,[1]L!J23))</f>
        <v>Shpenzimet</v>
      </c>
      <c r="E5" s="82" t="str">
        <f>IF([1]L!$A$1=1,[1]L!S4,IF([1]L!$A$1=2,[1]L!S13,[1]L!S23))</f>
        <v>Qeveria Lokale</v>
      </c>
      <c r="F5" s="82" t="str">
        <f>IF([1]L!$A$1=1,[1]L!T4,IF([1]L!$A$1=2,[1]L!T13,[1]L!T23))</f>
        <v>Paga</v>
      </c>
      <c r="G5" s="82" t="str">
        <f>IF([1]L!$A$1=1,[1]L!U4,IF([1]L!$A$1=2,[1]L!U13,[1]L!U23))</f>
        <v>Mallra dhe shërbime</v>
      </c>
      <c r="H5" s="82" t="str">
        <f>IF([1]L!$A$1=1,[1]L!V4,IF([1]L!$A$1=2,[1]L!V13,[1]L!V23))</f>
        <v>Shpenzime komunale</v>
      </c>
      <c r="I5" s="82" t="str">
        <f>IF([1]L!$A$1=1,[1]L!W4,IF([1]L!$A$1=2,[1]L!W13,[1]L!W23))</f>
        <v>Subvencione dhe Transfere</v>
      </c>
      <c r="J5" s="82" t="str">
        <f>IF([1]L!$A$1=1,[1]L!X4,IF([1]L!$A$1=2,[1]L!X13,[1]L!X23))</f>
        <v>Shpenzime Kapitale</v>
      </c>
      <c r="K5" s="82" t="s">
        <v>868</v>
      </c>
      <c r="L5" s="82" t="s">
        <v>0</v>
      </c>
      <c r="M5" s="82" t="s">
        <v>32</v>
      </c>
      <c r="N5" s="82" t="s">
        <v>33</v>
      </c>
      <c r="O5" s="82" t="s">
        <v>21</v>
      </c>
      <c r="P5" s="82" t="s">
        <v>35</v>
      </c>
      <c r="Q5" s="82" t="s">
        <v>869</v>
      </c>
      <c r="R5" s="82" t="s">
        <v>0</v>
      </c>
      <c r="S5" s="82" t="s">
        <v>32</v>
      </c>
      <c r="T5" s="82" t="s">
        <v>33</v>
      </c>
      <c r="U5" s="82" t="s">
        <v>21</v>
      </c>
      <c r="V5" s="82" t="s">
        <v>35</v>
      </c>
    </row>
    <row r="6" spans="1:22" s="107" customFormat="1" x14ac:dyDescent="0.25">
      <c r="A6" s="134">
        <v>2021</v>
      </c>
      <c r="B6" s="106" t="s">
        <v>684</v>
      </c>
      <c r="C6" s="115">
        <f>E6+K6+Q6</f>
        <v>1965644.24</v>
      </c>
      <c r="D6" s="115">
        <f t="shared" ref="D6:D17" si="0">+E6+K6+Q6</f>
        <v>1965644.24</v>
      </c>
      <c r="E6" s="116">
        <f>SUM(F6:J6)</f>
        <v>797450.9</v>
      </c>
      <c r="F6" s="117">
        <v>155009.96</v>
      </c>
      <c r="G6" s="115">
        <v>159413.54</v>
      </c>
      <c r="H6" s="115">
        <v>0</v>
      </c>
      <c r="I6" s="115">
        <v>0</v>
      </c>
      <c r="J6" s="115">
        <v>483027.4</v>
      </c>
      <c r="K6" s="118">
        <f>SUM(L6:P6)</f>
        <v>922893.92</v>
      </c>
      <c r="L6" s="115">
        <v>922893.92</v>
      </c>
      <c r="M6" s="115"/>
      <c r="N6" s="115">
        <v>0</v>
      </c>
      <c r="O6" s="115">
        <v>0</v>
      </c>
      <c r="P6" s="115">
        <v>0</v>
      </c>
      <c r="Q6" s="116">
        <f>SUM(R6:V6)</f>
        <v>245299.42</v>
      </c>
      <c r="R6" s="115">
        <v>245299.42</v>
      </c>
      <c r="S6" s="115"/>
      <c r="T6" s="115">
        <v>0</v>
      </c>
      <c r="U6" s="115"/>
      <c r="V6" s="115">
        <v>0</v>
      </c>
    </row>
    <row r="7" spans="1:22" s="107" customFormat="1" x14ac:dyDescent="0.25">
      <c r="A7" s="134"/>
      <c r="B7" s="106" t="s">
        <v>687</v>
      </c>
      <c r="C7" s="115">
        <f t="shared" ref="C7:C11" si="1">E7+K7+Q7</f>
        <v>2060214.39</v>
      </c>
      <c r="D7" s="115">
        <f t="shared" si="0"/>
        <v>2060214.39</v>
      </c>
      <c r="E7" s="116">
        <f t="shared" ref="E7:E11" si="2">SUM(F7:J7)</f>
        <v>1277191.08</v>
      </c>
      <c r="F7" s="115">
        <v>0</v>
      </c>
      <c r="G7" s="115">
        <v>268354.40999999997</v>
      </c>
      <c r="H7" s="115">
        <v>106570.97</v>
      </c>
      <c r="I7" s="115">
        <v>106233.75</v>
      </c>
      <c r="J7" s="115">
        <v>796031.95</v>
      </c>
      <c r="K7" s="118">
        <f t="shared" ref="K7:K16" si="3">SUM(L7:P7)</f>
        <v>396955.67000000004</v>
      </c>
      <c r="L7" s="115">
        <v>0</v>
      </c>
      <c r="M7" s="115">
        <v>274449.08</v>
      </c>
      <c r="N7" s="115">
        <v>13185.99</v>
      </c>
      <c r="O7" s="115">
        <v>0</v>
      </c>
      <c r="P7" s="115">
        <v>109320.6</v>
      </c>
      <c r="Q7" s="116">
        <f t="shared" ref="Q7:Q17" si="4">SUM(R7:V7)</f>
        <v>386067.63999999996</v>
      </c>
      <c r="R7" s="115">
        <v>0</v>
      </c>
      <c r="S7" s="115">
        <v>325342.71999999997</v>
      </c>
      <c r="T7" s="115">
        <v>11654.92</v>
      </c>
      <c r="U7" s="115">
        <v>49070</v>
      </c>
      <c r="V7" s="115">
        <v>0</v>
      </c>
    </row>
    <row r="8" spans="1:22" s="107" customFormat="1" x14ac:dyDescent="0.25">
      <c r="A8" s="134"/>
      <c r="B8" s="106" t="s">
        <v>879</v>
      </c>
      <c r="C8" s="115">
        <f t="shared" si="1"/>
        <v>3589220.58</v>
      </c>
      <c r="D8" s="115">
        <f t="shared" si="0"/>
        <v>3589220.58</v>
      </c>
      <c r="E8" s="116">
        <f t="shared" si="2"/>
        <v>839103.24</v>
      </c>
      <c r="F8" s="117">
        <v>310040.57</v>
      </c>
      <c r="G8" s="115">
        <v>22067.77</v>
      </c>
      <c r="H8" s="115">
        <v>11171.91</v>
      </c>
      <c r="I8" s="115">
        <v>40693</v>
      </c>
      <c r="J8" s="115">
        <v>455129.99</v>
      </c>
      <c r="K8" s="118">
        <f t="shared" si="3"/>
        <v>2228641.85</v>
      </c>
      <c r="L8" s="115">
        <v>2027073.03</v>
      </c>
      <c r="M8" s="115">
        <v>193415.8</v>
      </c>
      <c r="N8" s="115">
        <v>8153.02</v>
      </c>
      <c r="O8" s="115">
        <v>0</v>
      </c>
      <c r="P8" s="115">
        <v>0</v>
      </c>
      <c r="Q8" s="116">
        <f t="shared" si="4"/>
        <v>521475.49</v>
      </c>
      <c r="R8" s="115">
        <v>486593.92</v>
      </c>
      <c r="S8" s="115">
        <v>3772.57</v>
      </c>
      <c r="T8" s="115">
        <v>5309</v>
      </c>
      <c r="U8" s="115">
        <v>800</v>
      </c>
      <c r="V8" s="115">
        <v>25000</v>
      </c>
    </row>
    <row r="9" spans="1:22" s="107" customFormat="1" x14ac:dyDescent="0.25">
      <c r="A9" s="134"/>
      <c r="B9" s="106" t="s">
        <v>693</v>
      </c>
      <c r="C9" s="115">
        <f t="shared" si="1"/>
        <v>3584705.3200000003</v>
      </c>
      <c r="D9" s="115">
        <f t="shared" si="0"/>
        <v>3584705.3200000003</v>
      </c>
      <c r="E9" s="116">
        <f t="shared" si="2"/>
        <v>1839881.52</v>
      </c>
      <c r="F9" s="117">
        <v>151620.39000000001</v>
      </c>
      <c r="G9" s="115">
        <v>306956.65999999997</v>
      </c>
      <c r="H9" s="115">
        <v>101172.04</v>
      </c>
      <c r="I9" s="115">
        <v>17795.349999999999</v>
      </c>
      <c r="J9" s="115">
        <v>1262337.08</v>
      </c>
      <c r="K9" s="118">
        <f t="shared" si="3"/>
        <v>1169261.54</v>
      </c>
      <c r="L9" s="115">
        <v>912713.46</v>
      </c>
      <c r="M9" s="115">
        <v>242489.8</v>
      </c>
      <c r="N9" s="115">
        <v>14058.28</v>
      </c>
      <c r="O9" s="115">
        <v>0</v>
      </c>
      <c r="P9" s="115">
        <v>0</v>
      </c>
      <c r="Q9" s="116">
        <f t="shared" si="4"/>
        <v>575562.26</v>
      </c>
      <c r="R9" s="115">
        <v>233269.03999999998</v>
      </c>
      <c r="S9" s="115">
        <v>316446.33</v>
      </c>
      <c r="T9" s="115">
        <v>5646.89</v>
      </c>
      <c r="U9" s="115">
        <v>5200</v>
      </c>
      <c r="V9" s="115">
        <v>15000</v>
      </c>
    </row>
    <row r="10" spans="1:22" s="107" customFormat="1" x14ac:dyDescent="0.25">
      <c r="A10" s="134"/>
      <c r="B10" s="106" t="s">
        <v>695</v>
      </c>
      <c r="C10" s="115">
        <f t="shared" si="1"/>
        <v>3090602.42</v>
      </c>
      <c r="D10" s="115">
        <f t="shared" si="0"/>
        <v>3090602.42</v>
      </c>
      <c r="E10" s="116">
        <f t="shared" si="2"/>
        <v>1004677.31</v>
      </c>
      <c r="F10" s="117">
        <v>150659.4</v>
      </c>
      <c r="G10" s="115">
        <v>83316.290000000008</v>
      </c>
      <c r="H10" s="115">
        <v>470.45</v>
      </c>
      <c r="I10" s="115">
        <v>55925</v>
      </c>
      <c r="J10" s="115">
        <v>714306.17</v>
      </c>
      <c r="K10" s="118">
        <f t="shared" si="3"/>
        <v>1815240.87</v>
      </c>
      <c r="L10" s="115">
        <v>1323816.54</v>
      </c>
      <c r="M10" s="115">
        <v>224323.59</v>
      </c>
      <c r="N10" s="115">
        <v>8571.25</v>
      </c>
      <c r="O10" s="115">
        <v>99500</v>
      </c>
      <c r="P10" s="115">
        <v>159029.49</v>
      </c>
      <c r="Q10" s="116">
        <f t="shared" si="4"/>
        <v>270684.24</v>
      </c>
      <c r="R10" s="115">
        <v>234278.91999999998</v>
      </c>
      <c r="S10" s="115">
        <v>11061.54</v>
      </c>
      <c r="T10" s="115">
        <v>5253.78</v>
      </c>
      <c r="U10" s="115">
        <v>20090</v>
      </c>
      <c r="V10" s="115">
        <v>0</v>
      </c>
    </row>
    <row r="11" spans="1:22" s="107" customFormat="1" x14ac:dyDescent="0.25">
      <c r="A11" s="134"/>
      <c r="B11" s="106" t="s">
        <v>697</v>
      </c>
      <c r="C11" s="115">
        <f t="shared" si="1"/>
        <v>2327443.8899999997</v>
      </c>
      <c r="D11" s="115">
        <f t="shared" si="0"/>
        <v>2327443.8899999997</v>
      </c>
      <c r="E11" s="116">
        <f t="shared" si="2"/>
        <v>746205.80999999994</v>
      </c>
      <c r="F11" s="117">
        <v>150815.44</v>
      </c>
      <c r="G11" s="115">
        <v>30152.1</v>
      </c>
      <c r="H11" s="115">
        <v>278.45</v>
      </c>
      <c r="I11" s="115">
        <v>2000</v>
      </c>
      <c r="J11" s="115">
        <v>562959.81999999995</v>
      </c>
      <c r="K11" s="118">
        <f t="shared" si="3"/>
        <v>1374481.74</v>
      </c>
      <c r="L11" s="115">
        <v>1220204.3600000001</v>
      </c>
      <c r="M11" s="115">
        <v>29441.66</v>
      </c>
      <c r="N11" s="115">
        <v>9540.2800000000007</v>
      </c>
      <c r="O11" s="115">
        <v>0</v>
      </c>
      <c r="P11" s="115">
        <v>115295.44</v>
      </c>
      <c r="Q11" s="116">
        <f t="shared" si="4"/>
        <v>206756.34</v>
      </c>
      <c r="R11" s="115">
        <v>200614.77</v>
      </c>
      <c r="S11" s="115">
        <v>2958.6</v>
      </c>
      <c r="T11" s="115">
        <v>3182.97</v>
      </c>
      <c r="U11" s="115">
        <v>0</v>
      </c>
      <c r="V11" s="115">
        <v>0</v>
      </c>
    </row>
    <row r="12" spans="1:22" s="107" customFormat="1" x14ac:dyDescent="0.25">
      <c r="A12" s="134"/>
      <c r="B12" s="106" t="s">
        <v>700</v>
      </c>
      <c r="C12" s="115">
        <f>E12+K12+Q12</f>
        <v>4126568.8400000003</v>
      </c>
      <c r="D12" s="115">
        <f t="shared" si="0"/>
        <v>4126568.8400000003</v>
      </c>
      <c r="E12" s="116">
        <f>SUM(F12:J12)</f>
        <v>2567228.98</v>
      </c>
      <c r="F12" s="117">
        <v>156353.28</v>
      </c>
      <c r="G12" s="115">
        <v>374807.59</v>
      </c>
      <c r="H12" s="115">
        <v>51293.08</v>
      </c>
      <c r="I12" s="115">
        <v>43855.7</v>
      </c>
      <c r="J12" s="115">
        <v>1940919.33</v>
      </c>
      <c r="K12" s="118">
        <f t="shared" si="3"/>
        <v>1232041.9900000002</v>
      </c>
      <c r="L12" s="115">
        <v>921277.27</v>
      </c>
      <c r="M12" s="115">
        <v>247693.37</v>
      </c>
      <c r="N12" s="115">
        <v>12140.86</v>
      </c>
      <c r="O12" s="115">
        <v>0</v>
      </c>
      <c r="P12" s="115">
        <v>50930.49</v>
      </c>
      <c r="Q12" s="116">
        <f t="shared" si="4"/>
        <v>327297.87</v>
      </c>
      <c r="R12" s="115">
        <v>200103.74</v>
      </c>
      <c r="S12" s="115">
        <v>108075</v>
      </c>
      <c r="T12" s="115">
        <v>15619.13</v>
      </c>
      <c r="U12" s="115">
        <v>3500</v>
      </c>
      <c r="V12" s="115">
        <v>0</v>
      </c>
    </row>
    <row r="13" spans="1:22" s="107" customFormat="1" x14ac:dyDescent="0.25">
      <c r="A13" s="134"/>
      <c r="B13" s="106" t="s">
        <v>703</v>
      </c>
      <c r="C13" s="115">
        <f>E13+K13+Q13</f>
        <v>3073914.35</v>
      </c>
      <c r="D13" s="115">
        <f t="shared" si="0"/>
        <v>3073914.35</v>
      </c>
      <c r="E13" s="116">
        <f>SUM(F13:J13)</f>
        <v>1417397.74</v>
      </c>
      <c r="F13" s="117">
        <v>147660.03</v>
      </c>
      <c r="G13" s="115">
        <v>274075.53999999998</v>
      </c>
      <c r="H13" s="115">
        <v>60663.58</v>
      </c>
      <c r="I13" s="115">
        <v>233069.8</v>
      </c>
      <c r="J13" s="115">
        <v>701928.79</v>
      </c>
      <c r="K13" s="118">
        <f t="shared" si="3"/>
        <v>1128548.5899999999</v>
      </c>
      <c r="L13" s="115">
        <v>929756.98</v>
      </c>
      <c r="M13" s="115">
        <v>106788.1</v>
      </c>
      <c r="N13" s="115">
        <v>3003.51</v>
      </c>
      <c r="O13" s="115">
        <v>89000</v>
      </c>
      <c r="P13" s="115">
        <v>0</v>
      </c>
      <c r="Q13" s="116">
        <f t="shared" si="4"/>
        <v>527968.02</v>
      </c>
      <c r="R13" s="115">
        <v>212777.61</v>
      </c>
      <c r="S13" s="115">
        <v>213765.52</v>
      </c>
      <c r="T13" s="115">
        <v>124.89</v>
      </c>
      <c r="U13" s="115">
        <v>61300</v>
      </c>
      <c r="V13" s="115">
        <v>40000</v>
      </c>
    </row>
    <row r="14" spans="1:22" s="107" customFormat="1" x14ac:dyDescent="0.25">
      <c r="A14" s="134"/>
      <c r="B14" s="106" t="s">
        <v>706</v>
      </c>
      <c r="C14" s="115">
        <f t="shared" ref="C14:C17" si="5">E14+K14+Q14</f>
        <v>2301841.11</v>
      </c>
      <c r="D14" s="115">
        <f t="shared" si="0"/>
        <v>2301841.11</v>
      </c>
      <c r="E14" s="116">
        <f t="shared" ref="E14:E17" si="6">SUM(F14:J14)</f>
        <v>525510.67999999993</v>
      </c>
      <c r="F14" s="117">
        <f>146538.76-1380.52</f>
        <v>145158.24000000002</v>
      </c>
      <c r="G14" s="119">
        <v>63235.7</v>
      </c>
      <c r="H14" s="115">
        <v>0</v>
      </c>
      <c r="I14" s="115">
        <v>100065.23</v>
      </c>
      <c r="J14" s="115">
        <v>217051.51</v>
      </c>
      <c r="K14" s="118">
        <f t="shared" si="3"/>
        <v>1546580.31</v>
      </c>
      <c r="L14" s="115">
        <v>1386597.91</v>
      </c>
      <c r="M14" s="115">
        <v>20831.72</v>
      </c>
      <c r="N14" s="115">
        <f>616.56</f>
        <v>616.55999999999995</v>
      </c>
      <c r="O14" s="115">
        <v>0</v>
      </c>
      <c r="P14" s="115">
        <v>138534.12</v>
      </c>
      <c r="Q14" s="116">
        <f t="shared" si="4"/>
        <v>229750.12</v>
      </c>
      <c r="R14" s="115">
        <v>219647.83</v>
      </c>
      <c r="S14" s="115">
        <v>7273.89</v>
      </c>
      <c r="T14" s="115">
        <v>2828.4</v>
      </c>
      <c r="U14" s="115">
        <v>0</v>
      </c>
      <c r="V14" s="115">
        <v>0</v>
      </c>
    </row>
    <row r="15" spans="1:22" s="107" customFormat="1" x14ac:dyDescent="0.25">
      <c r="A15" s="135"/>
      <c r="B15" s="106" t="s">
        <v>709</v>
      </c>
      <c r="C15" s="115">
        <f t="shared" si="5"/>
        <v>4230820.91</v>
      </c>
      <c r="D15" s="115">
        <f t="shared" si="0"/>
        <v>4230820.91</v>
      </c>
      <c r="E15" s="116">
        <f t="shared" si="6"/>
        <v>1879222.58</v>
      </c>
      <c r="F15" s="117">
        <v>142576.23000000001</v>
      </c>
      <c r="G15" s="115">
        <v>396711.93</v>
      </c>
      <c r="H15" s="115">
        <v>140788.24</v>
      </c>
      <c r="I15" s="120">
        <v>7685</v>
      </c>
      <c r="J15" s="120">
        <v>1191461.18</v>
      </c>
      <c r="K15" s="118">
        <f t="shared" si="3"/>
        <v>1697943.9599999997</v>
      </c>
      <c r="L15" s="115">
        <v>958668.21</v>
      </c>
      <c r="M15" s="115">
        <v>388506.97</v>
      </c>
      <c r="N15" s="120">
        <v>74888.87</v>
      </c>
      <c r="O15" s="120">
        <v>0</v>
      </c>
      <c r="P15" s="120">
        <v>275879.90999999997</v>
      </c>
      <c r="Q15" s="116">
        <f t="shared" si="4"/>
        <v>653654.36999999988</v>
      </c>
      <c r="R15" s="115">
        <v>221137.05</v>
      </c>
      <c r="S15" s="115">
        <v>324657.34999999998</v>
      </c>
      <c r="T15" s="120">
        <v>27501.7</v>
      </c>
      <c r="U15" s="120">
        <v>0</v>
      </c>
      <c r="V15" s="120">
        <v>80358.27</v>
      </c>
    </row>
    <row r="16" spans="1:22" s="107" customFormat="1" x14ac:dyDescent="0.25">
      <c r="A16" s="135"/>
      <c r="B16" s="106" t="s">
        <v>880</v>
      </c>
      <c r="C16" s="115">
        <f t="shared" si="5"/>
        <v>1647487.78</v>
      </c>
      <c r="D16" s="115">
        <f t="shared" si="0"/>
        <v>1647487.78</v>
      </c>
      <c r="E16" s="116">
        <f t="shared" si="6"/>
        <v>508639.81000000006</v>
      </c>
      <c r="F16" s="117">
        <v>144197.48000000001</v>
      </c>
      <c r="G16" s="115">
        <f>3989.61+998</f>
        <v>4987.6100000000006</v>
      </c>
      <c r="H16" s="115">
        <v>0</v>
      </c>
      <c r="I16" s="120">
        <v>163277.82999999999</v>
      </c>
      <c r="J16" s="120">
        <v>196176.89</v>
      </c>
      <c r="K16" s="118">
        <f t="shared" si="3"/>
        <v>919815.31</v>
      </c>
      <c r="L16" s="115">
        <v>920235.28</v>
      </c>
      <c r="M16" s="115">
        <v>-419.97</v>
      </c>
      <c r="N16" s="120">
        <v>0</v>
      </c>
      <c r="O16" s="120">
        <v>0</v>
      </c>
      <c r="P16" s="120">
        <v>0</v>
      </c>
      <c r="Q16" s="116">
        <f t="shared" si="4"/>
        <v>219032.66</v>
      </c>
      <c r="R16" s="115">
        <v>219032.66</v>
      </c>
      <c r="S16" s="115">
        <v>0</v>
      </c>
      <c r="T16" s="120">
        <v>0</v>
      </c>
      <c r="U16" s="120">
        <v>0</v>
      </c>
      <c r="V16" s="120">
        <v>0</v>
      </c>
    </row>
    <row r="17" spans="1:22" s="107" customFormat="1" x14ac:dyDescent="0.25">
      <c r="A17" s="135"/>
      <c r="B17" s="108" t="s">
        <v>715</v>
      </c>
      <c r="C17" s="120">
        <f t="shared" si="5"/>
        <v>3243348.1999999997</v>
      </c>
      <c r="D17" s="120">
        <f t="shared" si="0"/>
        <v>3243348.1999999997</v>
      </c>
      <c r="E17" s="121">
        <f t="shared" si="6"/>
        <v>1541157.5499999998</v>
      </c>
      <c r="F17" s="122">
        <f>292386.41+665.62</f>
        <v>293052.02999999997</v>
      </c>
      <c r="G17" s="120">
        <f>43521.69+1600</f>
        <v>45121.69</v>
      </c>
      <c r="H17" s="115">
        <v>5632</v>
      </c>
      <c r="I17" s="123">
        <v>1972.17</v>
      </c>
      <c r="J17" s="123">
        <v>1195379.6599999999</v>
      </c>
      <c r="K17" s="121">
        <f t="shared" ref="K17" si="7">SUM(L17:P17)</f>
        <v>1374317.19</v>
      </c>
      <c r="L17" s="120">
        <v>1298739.83</v>
      </c>
      <c r="M17" s="120">
        <v>29738.89</v>
      </c>
      <c r="N17" s="123">
        <v>0</v>
      </c>
      <c r="O17" s="123">
        <v>0</v>
      </c>
      <c r="P17" s="123">
        <v>45838.47</v>
      </c>
      <c r="Q17" s="121">
        <f t="shared" si="4"/>
        <v>327873.46000000002</v>
      </c>
      <c r="R17" s="120">
        <v>326888.38</v>
      </c>
      <c r="S17" s="115">
        <v>0</v>
      </c>
      <c r="T17" s="123">
        <v>0</v>
      </c>
      <c r="U17" s="123">
        <v>0</v>
      </c>
      <c r="V17" s="123">
        <v>985.08</v>
      </c>
    </row>
    <row r="18" spans="1:22" s="107" customFormat="1" x14ac:dyDescent="0.25">
      <c r="A18" s="136"/>
      <c r="B18" s="104" t="s">
        <v>683</v>
      </c>
      <c r="C18" s="125">
        <f>E18+K18+Q18</f>
        <v>35241812.030000001</v>
      </c>
      <c r="D18" s="125">
        <f>SUM(D6:D17)</f>
        <v>35241812.030000001</v>
      </c>
      <c r="E18" s="125">
        <f>SUM(E6:E17)</f>
        <v>14943667.199999999</v>
      </c>
      <c r="F18" s="125">
        <f>SUM(F6:F17)</f>
        <v>1947143.05</v>
      </c>
      <c r="G18" s="125">
        <f t="shared" ref="G18" si="8">SUM(G6:G17)</f>
        <v>2029200.8299999998</v>
      </c>
      <c r="H18" s="125">
        <f>SUM(H6:H17)</f>
        <v>478040.72000000003</v>
      </c>
      <c r="I18" s="125">
        <f t="shared" ref="I18:J18" si="9">SUM(I6:I17)</f>
        <v>772572.83</v>
      </c>
      <c r="J18" s="125">
        <f t="shared" si="9"/>
        <v>9716709.7699999996</v>
      </c>
      <c r="K18" s="125">
        <f>SUM(K6:K17)</f>
        <v>15806722.940000001</v>
      </c>
      <c r="L18" s="125">
        <f t="shared" ref="L18:V18" si="10">SUM(L6:L17)</f>
        <v>12821976.789999999</v>
      </c>
      <c r="M18" s="125">
        <f t="shared" si="10"/>
        <v>1757259.0099999998</v>
      </c>
      <c r="N18" s="125">
        <f t="shared" si="10"/>
        <v>144158.62</v>
      </c>
      <c r="O18" s="125">
        <f t="shared" si="10"/>
        <v>188500</v>
      </c>
      <c r="P18" s="125">
        <f t="shared" si="10"/>
        <v>894828.51999999979</v>
      </c>
      <c r="Q18" s="125">
        <f t="shared" si="10"/>
        <v>4491421.8899999997</v>
      </c>
      <c r="R18" s="125">
        <f t="shared" si="10"/>
        <v>2799643.34</v>
      </c>
      <c r="S18" s="125">
        <f t="shared" si="10"/>
        <v>1313353.52</v>
      </c>
      <c r="T18" s="125">
        <f t="shared" si="10"/>
        <v>77121.679999999993</v>
      </c>
      <c r="U18" s="125">
        <f t="shared" si="10"/>
        <v>139960</v>
      </c>
      <c r="V18" s="125">
        <f t="shared" si="10"/>
        <v>161343.35</v>
      </c>
    </row>
    <row r="19" spans="1:22" x14ac:dyDescent="0.25">
      <c r="A19" s="134">
        <v>2022</v>
      </c>
      <c r="B19" s="106" t="s">
        <v>721</v>
      </c>
      <c r="C19" s="115">
        <f>E19+K19+Q19</f>
        <v>1508762.32</v>
      </c>
      <c r="D19" s="115"/>
      <c r="E19" s="121">
        <f>F19+G19+H19+I19+J19</f>
        <v>150227.78</v>
      </c>
      <c r="F19" s="117">
        <v>150227.78</v>
      </c>
      <c r="G19" s="115">
        <v>0</v>
      </c>
      <c r="H19" s="115">
        <v>0</v>
      </c>
      <c r="I19" s="115">
        <v>0</v>
      </c>
      <c r="J19" s="115">
        <v>0</v>
      </c>
      <c r="K19" s="118">
        <f>L19+M19+N19+O19+P19</f>
        <v>1165596.33</v>
      </c>
      <c r="L19" s="115">
        <v>1165596.33</v>
      </c>
      <c r="M19" s="115">
        <v>0</v>
      </c>
      <c r="N19" s="115">
        <v>0</v>
      </c>
      <c r="O19" s="115">
        <v>0</v>
      </c>
      <c r="P19" s="115">
        <v>0</v>
      </c>
      <c r="Q19" s="124">
        <f>R19+S19+T19+U19+V19</f>
        <v>192938.21</v>
      </c>
      <c r="R19" s="115">
        <v>192938.21</v>
      </c>
      <c r="S19" s="115">
        <v>0</v>
      </c>
      <c r="T19" s="115">
        <v>0</v>
      </c>
      <c r="U19" s="115">
        <v>0</v>
      </c>
      <c r="V19" s="115">
        <v>0</v>
      </c>
    </row>
    <row r="20" spans="1:22" x14ac:dyDescent="0.25">
      <c r="A20" s="134"/>
      <c r="B20" s="106" t="s">
        <v>724</v>
      </c>
      <c r="C20" s="115">
        <f t="shared" ref="C20:C29" si="11">E20+K20+Q20</f>
        <v>2118324.5600000005</v>
      </c>
      <c r="D20" s="115"/>
      <c r="E20" s="121">
        <f>F20+G20+H20+I20+J20</f>
        <v>584710.57000000007</v>
      </c>
      <c r="F20" s="115">
        <v>155712.78</v>
      </c>
      <c r="G20" s="115">
        <f>202014.85-1000</f>
        <v>201014.85</v>
      </c>
      <c r="H20" s="115">
        <v>80200.070000000007</v>
      </c>
      <c r="I20" s="115">
        <v>0</v>
      </c>
      <c r="J20" s="115">
        <v>147782.87</v>
      </c>
      <c r="K20" s="118">
        <f t="shared" ref="K20:K30" si="12">L20+M20+N20+O20+P20</f>
        <v>954971.94000000006</v>
      </c>
      <c r="L20" s="115">
        <v>921684.68</v>
      </c>
      <c r="M20" s="115">
        <v>26073.1</v>
      </c>
      <c r="N20" s="115">
        <v>7214.16</v>
      </c>
      <c r="O20" s="115">
        <v>0</v>
      </c>
      <c r="P20" s="115">
        <v>0</v>
      </c>
      <c r="Q20" s="121">
        <f t="shared" ref="Q20:Q30" si="13">R20+S20+T20+U20+V20</f>
        <v>578642.05000000005</v>
      </c>
      <c r="R20" s="115">
        <v>242078.67</v>
      </c>
      <c r="S20" s="115">
        <v>323884.52</v>
      </c>
      <c r="T20" s="115">
        <v>12678.86</v>
      </c>
      <c r="U20" s="115">
        <v>0</v>
      </c>
      <c r="V20" s="115">
        <v>0</v>
      </c>
    </row>
    <row r="21" spans="1:22" x14ac:dyDescent="0.25">
      <c r="A21" s="134"/>
      <c r="B21" s="106" t="s">
        <v>881</v>
      </c>
      <c r="C21" s="115">
        <f t="shared" si="11"/>
        <v>4563553.68</v>
      </c>
      <c r="D21" s="115"/>
      <c r="E21" s="121">
        <f t="shared" ref="E21:E30" si="14">F21+G21+H21+I21+J21</f>
        <v>2863635.21</v>
      </c>
      <c r="F21" s="117">
        <v>151196.18</v>
      </c>
      <c r="G21" s="115">
        <v>1158165.97</v>
      </c>
      <c r="H21" s="115">
        <v>38717.25</v>
      </c>
      <c r="I21" s="115">
        <v>0</v>
      </c>
      <c r="J21" s="115">
        <v>1515555.81</v>
      </c>
      <c r="K21" s="118">
        <f t="shared" si="12"/>
        <v>1234952.7799999998</v>
      </c>
      <c r="L21" s="115">
        <v>1015219</v>
      </c>
      <c r="M21" s="115">
        <v>190778.38</v>
      </c>
      <c r="N21" s="115">
        <v>28955.4</v>
      </c>
      <c r="O21" s="115">
        <v>0</v>
      </c>
      <c r="P21" s="115">
        <v>0</v>
      </c>
      <c r="Q21" s="118">
        <f t="shared" si="13"/>
        <v>464965.69</v>
      </c>
      <c r="R21" s="115">
        <v>262717.5</v>
      </c>
      <c r="S21" s="115">
        <v>154990</v>
      </c>
      <c r="T21" s="115">
        <v>1138.19</v>
      </c>
      <c r="U21" s="115">
        <v>46120</v>
      </c>
      <c r="V21" s="115">
        <v>0</v>
      </c>
    </row>
    <row r="22" spans="1:22" x14ac:dyDescent="0.25">
      <c r="A22" s="134"/>
      <c r="B22" s="106" t="s">
        <v>730</v>
      </c>
      <c r="C22" s="115">
        <f t="shared" si="11"/>
        <v>3467870.2600000002</v>
      </c>
      <c r="D22" s="115"/>
      <c r="E22" s="121">
        <f t="shared" si="14"/>
        <v>2933417.45</v>
      </c>
      <c r="F22" s="117">
        <v>150281.89000000001</v>
      </c>
      <c r="G22" s="115">
        <v>293564.83</v>
      </c>
      <c r="H22" s="115">
        <v>362048.12</v>
      </c>
      <c r="I22" s="115">
        <v>42410</v>
      </c>
      <c r="J22" s="115">
        <v>2085112.61</v>
      </c>
      <c r="K22" s="118"/>
      <c r="L22" s="115">
        <v>912220.82</v>
      </c>
      <c r="M22" s="115">
        <v>75608.820000000007</v>
      </c>
      <c r="N22" s="115">
        <v>13931.63</v>
      </c>
      <c r="O22" s="115">
        <v>0</v>
      </c>
      <c r="P22" s="115"/>
      <c r="Q22" s="118">
        <f t="shared" si="13"/>
        <v>534452.81000000006</v>
      </c>
      <c r="R22" s="143">
        <v>235856.8</v>
      </c>
      <c r="S22" s="115">
        <v>108967.82</v>
      </c>
      <c r="T22" s="115">
        <v>0</v>
      </c>
      <c r="U22" s="115">
        <v>7290</v>
      </c>
      <c r="V22" s="115">
        <v>182338.19</v>
      </c>
    </row>
    <row r="23" spans="1:22" x14ac:dyDescent="0.25">
      <c r="A23" s="134"/>
      <c r="B23" s="106" t="s">
        <v>732</v>
      </c>
      <c r="C23" s="115">
        <f t="shared" si="11"/>
        <v>0</v>
      </c>
      <c r="D23" s="115"/>
      <c r="E23" s="121">
        <f t="shared" si="14"/>
        <v>0</v>
      </c>
      <c r="F23" s="117"/>
      <c r="G23" s="115"/>
      <c r="H23" s="115"/>
      <c r="I23" s="115"/>
      <c r="J23" s="115"/>
      <c r="K23" s="118">
        <f t="shared" si="12"/>
        <v>0</v>
      </c>
      <c r="L23" s="115"/>
      <c r="M23" s="115"/>
      <c r="N23" s="115"/>
      <c r="O23" s="115"/>
      <c r="P23" s="115"/>
      <c r="Q23" s="118">
        <f t="shared" si="13"/>
        <v>0</v>
      </c>
      <c r="R23" s="115"/>
      <c r="S23" s="115"/>
      <c r="T23" s="115"/>
      <c r="U23" s="115"/>
      <c r="V23" s="115"/>
    </row>
    <row r="24" spans="1:22" x14ac:dyDescent="0.25">
      <c r="A24" s="134"/>
      <c r="B24" s="106" t="s">
        <v>734</v>
      </c>
      <c r="C24" s="115">
        <f t="shared" si="11"/>
        <v>0</v>
      </c>
      <c r="D24" s="115"/>
      <c r="E24" s="121">
        <f t="shared" si="14"/>
        <v>0</v>
      </c>
      <c r="F24" s="117"/>
      <c r="G24" s="115"/>
      <c r="H24" s="115"/>
      <c r="I24" s="115"/>
      <c r="J24" s="115"/>
      <c r="K24" s="118">
        <f t="shared" si="12"/>
        <v>0</v>
      </c>
      <c r="L24" s="115"/>
      <c r="M24" s="115"/>
      <c r="N24" s="115"/>
      <c r="O24" s="115"/>
      <c r="P24" s="115"/>
      <c r="Q24" s="118">
        <f t="shared" si="13"/>
        <v>0</v>
      </c>
      <c r="R24" s="115"/>
      <c r="S24" s="115"/>
      <c r="T24" s="115"/>
      <c r="U24" s="115"/>
      <c r="V24" s="115"/>
    </row>
    <row r="25" spans="1:22" x14ac:dyDescent="0.25">
      <c r="A25" s="134"/>
      <c r="B25" s="106" t="s">
        <v>737</v>
      </c>
      <c r="C25" s="115">
        <f t="shared" si="11"/>
        <v>0</v>
      </c>
      <c r="D25" s="115"/>
      <c r="E25" s="121">
        <f t="shared" si="14"/>
        <v>0</v>
      </c>
      <c r="F25" s="117"/>
      <c r="G25" s="115"/>
      <c r="H25" s="115"/>
      <c r="I25" s="115"/>
      <c r="J25" s="115"/>
      <c r="K25" s="118">
        <f t="shared" si="12"/>
        <v>0</v>
      </c>
      <c r="L25" s="115"/>
      <c r="M25" s="115"/>
      <c r="N25" s="115"/>
      <c r="O25" s="115"/>
      <c r="P25" s="115"/>
      <c r="Q25" s="118">
        <f t="shared" si="13"/>
        <v>0</v>
      </c>
      <c r="R25" s="115"/>
      <c r="S25" s="115"/>
      <c r="T25" s="115"/>
      <c r="U25" s="115"/>
      <c r="V25" s="115"/>
    </row>
    <row r="26" spans="1:22" x14ac:dyDescent="0.25">
      <c r="A26" s="134"/>
      <c r="B26" s="106" t="s">
        <v>740</v>
      </c>
      <c r="C26" s="115">
        <f t="shared" si="11"/>
        <v>0</v>
      </c>
      <c r="D26" s="115"/>
      <c r="E26" s="121">
        <f t="shared" si="14"/>
        <v>0</v>
      </c>
      <c r="F26" s="117"/>
      <c r="G26" s="115"/>
      <c r="H26" s="115"/>
      <c r="I26" s="115"/>
      <c r="J26" s="115"/>
      <c r="K26" s="118">
        <f t="shared" si="12"/>
        <v>0</v>
      </c>
      <c r="L26" s="115"/>
      <c r="M26" s="115"/>
      <c r="N26" s="115"/>
      <c r="O26" s="115"/>
      <c r="P26" s="115"/>
      <c r="Q26" s="118">
        <f t="shared" si="13"/>
        <v>0</v>
      </c>
      <c r="R26" s="115"/>
      <c r="S26" s="115"/>
      <c r="T26" s="115"/>
      <c r="U26" s="115"/>
      <c r="V26" s="115"/>
    </row>
    <row r="27" spans="1:22" x14ac:dyDescent="0.25">
      <c r="A27" s="134"/>
      <c r="B27" s="106" t="s">
        <v>743</v>
      </c>
      <c r="C27" s="115">
        <f t="shared" si="11"/>
        <v>0</v>
      </c>
      <c r="D27" s="115"/>
      <c r="E27" s="121">
        <f t="shared" si="14"/>
        <v>0</v>
      </c>
      <c r="F27" s="117"/>
      <c r="G27" s="119"/>
      <c r="H27" s="115"/>
      <c r="I27" s="115"/>
      <c r="J27" s="115"/>
      <c r="K27" s="118">
        <f t="shared" si="12"/>
        <v>0</v>
      </c>
      <c r="L27" s="115"/>
      <c r="M27" s="115"/>
      <c r="N27" s="115"/>
      <c r="O27" s="115"/>
      <c r="P27" s="115"/>
      <c r="Q27" s="118">
        <f t="shared" si="13"/>
        <v>0</v>
      </c>
      <c r="R27" s="115"/>
      <c r="S27" s="115"/>
      <c r="T27" s="115"/>
      <c r="U27" s="115"/>
      <c r="V27" s="115"/>
    </row>
    <row r="28" spans="1:22" x14ac:dyDescent="0.25">
      <c r="A28" s="135"/>
      <c r="B28" s="106" t="s">
        <v>746</v>
      </c>
      <c r="C28" s="115">
        <f t="shared" si="11"/>
        <v>0</v>
      </c>
      <c r="D28" s="115"/>
      <c r="E28" s="121">
        <f t="shared" si="14"/>
        <v>0</v>
      </c>
      <c r="F28" s="117"/>
      <c r="G28" s="115"/>
      <c r="H28" s="115"/>
      <c r="I28" s="120"/>
      <c r="J28" s="120"/>
      <c r="K28" s="118">
        <f t="shared" si="12"/>
        <v>0</v>
      </c>
      <c r="L28" s="115"/>
      <c r="M28" s="115"/>
      <c r="N28" s="120"/>
      <c r="O28" s="120"/>
      <c r="P28" s="120"/>
      <c r="Q28" s="118">
        <f t="shared" si="13"/>
        <v>0</v>
      </c>
      <c r="R28" s="115"/>
      <c r="S28" s="115"/>
      <c r="T28" s="120"/>
      <c r="U28" s="120"/>
      <c r="V28" s="120"/>
    </row>
    <row r="29" spans="1:22" x14ac:dyDescent="0.25">
      <c r="A29" s="135"/>
      <c r="B29" s="106" t="s">
        <v>882</v>
      </c>
      <c r="C29" s="115">
        <f t="shared" si="11"/>
        <v>0</v>
      </c>
      <c r="D29" s="115"/>
      <c r="E29" s="121">
        <f t="shared" si="14"/>
        <v>0</v>
      </c>
      <c r="F29" s="117"/>
      <c r="G29" s="115"/>
      <c r="H29" s="115"/>
      <c r="I29" s="120"/>
      <c r="J29" s="120"/>
      <c r="K29" s="118">
        <f t="shared" si="12"/>
        <v>0</v>
      </c>
      <c r="L29" s="115"/>
      <c r="M29" s="115"/>
      <c r="N29" s="120"/>
      <c r="O29" s="120"/>
      <c r="P29" s="120"/>
      <c r="Q29" s="118">
        <f t="shared" si="13"/>
        <v>0</v>
      </c>
      <c r="R29" s="115"/>
      <c r="S29" s="115"/>
      <c r="T29" s="120"/>
      <c r="U29" s="120"/>
      <c r="V29" s="120"/>
    </row>
    <row r="30" spans="1:22" x14ac:dyDescent="0.25">
      <c r="A30" s="135"/>
      <c r="B30" s="108" t="s">
        <v>752</v>
      </c>
      <c r="C30" s="115">
        <f>E30+K30+Q30</f>
        <v>0</v>
      </c>
      <c r="D30" s="115"/>
      <c r="E30" s="121">
        <f t="shared" si="14"/>
        <v>0</v>
      </c>
      <c r="F30" s="117"/>
      <c r="G30" s="115"/>
      <c r="H30" s="115"/>
      <c r="I30" s="120"/>
      <c r="J30" s="120"/>
      <c r="K30" s="118">
        <f t="shared" si="12"/>
        <v>0</v>
      </c>
      <c r="L30" s="115"/>
      <c r="M30" s="115"/>
      <c r="N30" s="120"/>
      <c r="O30" s="120"/>
      <c r="P30" s="120"/>
      <c r="Q30" s="132">
        <f t="shared" si="13"/>
        <v>0</v>
      </c>
      <c r="R30" s="115"/>
      <c r="S30" s="115"/>
      <c r="T30" s="120"/>
      <c r="U30" s="120"/>
      <c r="V30" s="120"/>
    </row>
    <row r="31" spans="1:22" x14ac:dyDescent="0.25">
      <c r="A31" s="136"/>
      <c r="B31" s="104" t="s">
        <v>720</v>
      </c>
      <c r="C31" s="125">
        <f>E31+K31+Q31</f>
        <v>11658510.819999998</v>
      </c>
      <c r="D31" s="125">
        <f>SUM(D19:D30)</f>
        <v>0</v>
      </c>
      <c r="E31" s="125">
        <f>SUM(E19:E30)</f>
        <v>6531991.0099999998</v>
      </c>
      <c r="F31" s="125">
        <f>SUM(F19:F30)</f>
        <v>607418.63</v>
      </c>
      <c r="G31" s="125">
        <f t="shared" ref="G31" si="15">SUM(G19:G30)</f>
        <v>1652745.6500000001</v>
      </c>
      <c r="H31" s="125">
        <f>SUM(H19:H30)</f>
        <v>480965.44</v>
      </c>
      <c r="I31" s="125">
        <f t="shared" ref="I31:J31" si="16">SUM(I19:I30)</f>
        <v>42410</v>
      </c>
      <c r="J31" s="125">
        <f t="shared" si="16"/>
        <v>3748451.29</v>
      </c>
      <c r="K31" s="125">
        <f>SUM(K19:K30)</f>
        <v>3355521.05</v>
      </c>
      <c r="L31" s="125">
        <f t="shared" ref="L31:V31" si="17">SUM(L19:L30)</f>
        <v>4014720.83</v>
      </c>
      <c r="M31" s="125">
        <f t="shared" si="17"/>
        <v>292460.30000000005</v>
      </c>
      <c r="N31" s="125">
        <f t="shared" si="17"/>
        <v>50101.189999999995</v>
      </c>
      <c r="O31" s="125">
        <f t="shared" si="17"/>
        <v>0</v>
      </c>
      <c r="P31" s="125">
        <f t="shared" si="17"/>
        <v>0</v>
      </c>
      <c r="Q31" s="125">
        <f t="shared" si="17"/>
        <v>1770998.76</v>
      </c>
      <c r="R31" s="125">
        <f t="shared" si="17"/>
        <v>933591.17999999993</v>
      </c>
      <c r="S31" s="125">
        <f t="shared" si="17"/>
        <v>587842.34000000008</v>
      </c>
      <c r="T31" s="125">
        <f t="shared" si="17"/>
        <v>13817.050000000001</v>
      </c>
      <c r="U31" s="125">
        <f t="shared" si="17"/>
        <v>53410</v>
      </c>
      <c r="V31" s="125">
        <f t="shared" si="17"/>
        <v>182338.19</v>
      </c>
    </row>
  </sheetData>
  <mergeCells count="5">
    <mergeCell ref="A6:A18"/>
    <mergeCell ref="D1:D2"/>
    <mergeCell ref="B3:B5"/>
    <mergeCell ref="A3:A5"/>
    <mergeCell ref="A19:A31"/>
  </mergeCells>
  <pageMargins left="0.25" right="0.25" top="0.75" bottom="0.75" header="0.3" footer="0.3"/>
  <pageSetup paperSize="9" scale="5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66675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66675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54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F22" sqref="F22"/>
    </sheetView>
  </sheetViews>
  <sheetFormatPr defaultColWidth="9.140625" defaultRowHeight="15" x14ac:dyDescent="0.25"/>
  <cols>
    <col min="1" max="1" width="7.140625" style="1" customWidth="1"/>
    <col min="2" max="2" width="23.5703125" style="1" customWidth="1"/>
    <col min="3" max="3" width="16.140625" style="1" customWidth="1"/>
    <col min="4" max="4" width="18.140625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5.28515625" style="1" bestFit="1" customWidth="1"/>
    <col min="11" max="11" width="13.7109375" style="1" customWidth="1"/>
    <col min="12" max="12" width="13.85546875" style="1" customWidth="1"/>
    <col min="13" max="13" width="14.28515625" style="1" customWidth="1"/>
    <col min="14" max="14" width="11.85546875" style="1" customWidth="1"/>
    <col min="15" max="16384" width="9.140625" style="1"/>
  </cols>
  <sheetData>
    <row r="1" spans="1:12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</row>
    <row r="2" spans="1:12" s="3" customFormat="1" ht="17.25" customHeight="1" x14ac:dyDescent="0.25">
      <c r="A2" s="87" t="s">
        <v>876</v>
      </c>
      <c r="B2" s="88"/>
      <c r="C2" s="9"/>
      <c r="D2" s="9"/>
      <c r="E2" s="10"/>
      <c r="F2" s="10"/>
      <c r="G2" s="9"/>
      <c r="H2" s="9"/>
      <c r="I2" s="9"/>
      <c r="J2" s="9"/>
      <c r="K2" s="9"/>
      <c r="L2" s="9"/>
    </row>
    <row r="3" spans="1:12" s="2" customFormat="1" ht="82.5" customHeight="1" x14ac:dyDescent="0.25">
      <c r="A3" s="89" t="str">
        <f>IF(L!$A$1=1,L!G8,IF(L!$A$1=2,L!G18,L!G28))</f>
        <v>Viti</v>
      </c>
      <c r="B3" s="89" t="str">
        <f>IF(L!$A$1=1,L!H8,IF(L!$A$1=2,L!H18,L!H28))</f>
        <v>Viti / Muaji</v>
      </c>
      <c r="C3" s="90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91" t="s">
        <v>870</v>
      </c>
      <c r="F3" s="92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</row>
    <row r="4" spans="1:12" s="3" customFormat="1" x14ac:dyDescent="0.25">
      <c r="A4" s="141">
        <v>2021</v>
      </c>
      <c r="B4" s="5" t="s">
        <v>684</v>
      </c>
      <c r="C4" s="105">
        <f>SUM(D4:L4)</f>
        <v>543865.24</v>
      </c>
      <c r="D4" s="102">
        <v>230257.31</v>
      </c>
      <c r="E4" s="102">
        <v>157196.91</v>
      </c>
      <c r="F4" s="102"/>
      <c r="G4" s="102">
        <f>5775+1023+112+229+2062</f>
        <v>9201</v>
      </c>
      <c r="H4" s="102">
        <f>50170.5+3130</f>
        <v>53300.5</v>
      </c>
      <c r="I4" s="102">
        <v>18970</v>
      </c>
      <c r="J4" s="102">
        <v>5424.5</v>
      </c>
      <c r="K4" s="102">
        <f>5505.1+46</f>
        <v>5551.1</v>
      </c>
      <c r="L4" s="102">
        <f>620+1175+700+200+653.3+522+539.25+22716+6559.37+23155+250+789+736+5349</f>
        <v>63963.92</v>
      </c>
    </row>
    <row r="5" spans="1:12" s="3" customFormat="1" x14ac:dyDescent="0.25">
      <c r="A5" s="141"/>
      <c r="B5" s="5" t="s">
        <v>687</v>
      </c>
      <c r="C5" s="102">
        <f>SUM(D5:L5)</f>
        <v>379407.74</v>
      </c>
      <c r="D5" s="102">
        <v>156552.03</v>
      </c>
      <c r="E5" s="102">
        <v>82587.91</v>
      </c>
      <c r="F5" s="102"/>
      <c r="G5" s="102">
        <f>5414+727+224+92+1170</f>
        <v>7627</v>
      </c>
      <c r="H5" s="102">
        <f>49855+4580</f>
        <v>54435</v>
      </c>
      <c r="I5" s="102">
        <v>17900</v>
      </c>
      <c r="J5" s="102">
        <v>7931.5</v>
      </c>
      <c r="K5" s="102">
        <f>8301.2+53+1205</f>
        <v>9559.2000000000007</v>
      </c>
      <c r="L5" s="102">
        <f>920+1444+850+450+320.3+701+600+470.84+25717+5494.96+4676+450+721</f>
        <v>42815.1</v>
      </c>
    </row>
    <row r="6" spans="1:12" s="3" customFormat="1" x14ac:dyDescent="0.25">
      <c r="A6" s="141"/>
      <c r="B6" s="5" t="s">
        <v>879</v>
      </c>
      <c r="C6" s="105">
        <f t="shared" ref="C6:C15" si="0">SUM(D6:L6)</f>
        <v>376752.84</v>
      </c>
      <c r="D6" s="102">
        <v>160701.1</v>
      </c>
      <c r="E6" s="102">
        <v>49479.69</v>
      </c>
      <c r="F6" s="102"/>
      <c r="G6" s="102">
        <f>4510+550+153+95+535</f>
        <v>5843</v>
      </c>
      <c r="H6" s="102">
        <f>70451+5560</f>
        <v>76011</v>
      </c>
      <c r="I6" s="102">
        <v>19970</v>
      </c>
      <c r="J6" s="102">
        <v>7429.5</v>
      </c>
      <c r="K6" s="102">
        <f>7605.7+66+3400</f>
        <v>11071.7</v>
      </c>
      <c r="L6" s="102">
        <f>510+790+1600+1000+2004.24+487+300+1283.17+21864+4884.44+8772+2089+663</f>
        <v>46246.85</v>
      </c>
    </row>
    <row r="7" spans="1:12" s="3" customFormat="1" x14ac:dyDescent="0.25">
      <c r="A7" s="141"/>
      <c r="B7" s="5" t="s">
        <v>693</v>
      </c>
      <c r="C7" s="102">
        <f t="shared" si="0"/>
        <v>511736.47</v>
      </c>
      <c r="D7" s="102">
        <v>293916.62</v>
      </c>
      <c r="E7" s="102">
        <v>53265.38</v>
      </c>
      <c r="F7" s="102"/>
      <c r="G7" s="102">
        <f>6147+911+208+254+856</f>
        <v>8376</v>
      </c>
      <c r="H7" s="102">
        <v>4125</v>
      </c>
      <c r="I7" s="102">
        <v>18840</v>
      </c>
      <c r="J7" s="102">
        <v>9217</v>
      </c>
      <c r="K7" s="102">
        <f>9510.55+83+2125</f>
        <v>11718.55</v>
      </c>
      <c r="L7" s="102">
        <f>340+920+2525+1300+230.3+1288+1213.31+34623+22568.06+43583+1225+1377.25+1085</f>
        <v>112277.92</v>
      </c>
    </row>
    <row r="8" spans="1:12" s="3" customFormat="1" x14ac:dyDescent="0.25">
      <c r="A8" s="141"/>
      <c r="B8" s="5" t="s">
        <v>695</v>
      </c>
      <c r="C8" s="102">
        <f t="shared" si="0"/>
        <v>393017.7</v>
      </c>
      <c r="D8" s="102">
        <v>198336.92</v>
      </c>
      <c r="E8" s="102">
        <v>99317.28</v>
      </c>
      <c r="F8" s="102"/>
      <c r="G8" s="102">
        <f>5179+664+82+80+417</f>
        <v>6422</v>
      </c>
      <c r="H8" s="102">
        <v>3140</v>
      </c>
      <c r="I8" s="102">
        <v>18765</v>
      </c>
      <c r="J8" s="102">
        <v>4782.5</v>
      </c>
      <c r="K8" s="102">
        <f>6962.1+30+150</f>
        <v>7142.1</v>
      </c>
      <c r="L8" s="102">
        <f>230+1000+710+500+900+8391.68+270+385+266.98+18645+6293.92+14195.32+750+650+1447+477+M8</f>
        <v>55111.9</v>
      </c>
    </row>
    <row r="9" spans="1:12" s="3" customFormat="1" x14ac:dyDescent="0.25">
      <c r="A9" s="141"/>
      <c r="B9" s="5" t="s">
        <v>697</v>
      </c>
      <c r="C9" s="102">
        <f t="shared" si="0"/>
        <v>704252.87999999989</v>
      </c>
      <c r="D9" s="102">
        <v>255433.67</v>
      </c>
      <c r="E9" s="102">
        <v>223732.58</v>
      </c>
      <c r="F9" s="102"/>
      <c r="G9" s="102">
        <f>10565+915+162+90+712</f>
        <v>12444</v>
      </c>
      <c r="H9" s="102">
        <v>3275</v>
      </c>
      <c r="I9" s="102">
        <v>38710</v>
      </c>
      <c r="J9" s="102">
        <v>8556.5</v>
      </c>
      <c r="K9" s="102">
        <f>11845.96+158+710</f>
        <v>12713.96</v>
      </c>
      <c r="L9" s="102">
        <f>915+5000+100+750+2800+2571.09+842+502+1771.72+30464+21368.68+77224+500+370+3312+736+160.68</f>
        <v>149387.16999999998</v>
      </c>
    </row>
    <row r="10" spans="1:12" s="3" customFormat="1" x14ac:dyDescent="0.25">
      <c r="A10" s="141"/>
      <c r="B10" s="5" t="s">
        <v>700</v>
      </c>
      <c r="C10" s="102">
        <f t="shared" si="0"/>
        <v>472373.21</v>
      </c>
      <c r="D10" s="102">
        <v>233015.66</v>
      </c>
      <c r="E10" s="102">
        <v>83827.05</v>
      </c>
      <c r="F10" s="102"/>
      <c r="G10" s="102">
        <f>9483+868+209+293+477</f>
        <v>11330</v>
      </c>
      <c r="H10" s="102"/>
      <c r="I10" s="102">
        <v>32010</v>
      </c>
      <c r="J10" s="102">
        <v>8937.5</v>
      </c>
      <c r="K10" s="102">
        <f>3822.5+60</f>
        <v>3882.5</v>
      </c>
      <c r="L10" s="102">
        <f>790+400+1600+649.65+753+376+5741.49+36359+41855.36+6539+250+145+1800+2112</f>
        <v>99370.5</v>
      </c>
    </row>
    <row r="11" spans="1:12" s="3" customFormat="1" x14ac:dyDescent="0.25">
      <c r="A11" s="141"/>
      <c r="B11" s="5" t="s">
        <v>703</v>
      </c>
      <c r="C11" s="102">
        <f t="shared" si="0"/>
        <v>482662.71</v>
      </c>
      <c r="D11" s="102">
        <v>289551.26</v>
      </c>
      <c r="E11" s="102">
        <v>49570.87</v>
      </c>
      <c r="F11" s="102"/>
      <c r="G11" s="102">
        <f>12554+1277+245+1116+795</f>
        <v>15987</v>
      </c>
      <c r="H11" s="102"/>
      <c r="I11" s="102">
        <v>27125</v>
      </c>
      <c r="J11" s="102">
        <v>11405.5</v>
      </c>
      <c r="K11" s="102">
        <f>875+43+250</f>
        <v>1168</v>
      </c>
      <c r="L11" s="102">
        <f>700+325+1814+6895.25+540+451+571.5+42746+11377.33+18294+600+45+1385+2111</f>
        <v>87855.08</v>
      </c>
    </row>
    <row r="12" spans="1:12" s="3" customFormat="1" x14ac:dyDescent="0.25">
      <c r="A12" s="141"/>
      <c r="B12" s="5" t="s">
        <v>706</v>
      </c>
      <c r="C12" s="102">
        <f t="shared" si="0"/>
        <v>480832.96</v>
      </c>
      <c r="D12" s="109">
        <v>199599</v>
      </c>
      <c r="E12" s="110">
        <v>136954.67000000001</v>
      </c>
      <c r="F12" s="100"/>
      <c r="G12" s="111">
        <f>8095+1108+243+70+375</f>
        <v>9891</v>
      </c>
      <c r="H12" s="111"/>
      <c r="I12" s="111">
        <v>27970</v>
      </c>
      <c r="J12" s="112">
        <v>8021.5</v>
      </c>
      <c r="K12" s="113">
        <f>4696.67+132</f>
        <v>4828.67</v>
      </c>
      <c r="L12" s="100">
        <f>1130+113.3+402+14441.63+734+290.5+374.68+30511+18576.01+25199+600+150+500+546</f>
        <v>93568.12</v>
      </c>
    </row>
    <row r="13" spans="1:12" s="3" customFormat="1" x14ac:dyDescent="0.25">
      <c r="A13" s="141"/>
      <c r="B13" s="5" t="s">
        <v>709</v>
      </c>
      <c r="C13" s="102">
        <f t="shared" si="0"/>
        <v>369314.56</v>
      </c>
      <c r="D13" s="109">
        <v>175763.41</v>
      </c>
      <c r="E13" s="110">
        <v>65616.539999999994</v>
      </c>
      <c r="F13" s="100"/>
      <c r="G13" s="111">
        <f>8430+933+223+64+339</f>
        <v>9989</v>
      </c>
      <c r="H13" s="111"/>
      <c r="I13" s="111">
        <v>25310</v>
      </c>
      <c r="J13" s="112">
        <v>7939.5</v>
      </c>
      <c r="K13" s="95">
        <f>8278.56+114+450</f>
        <v>8842.56</v>
      </c>
      <c r="L13" s="100">
        <f>691+450+1748.4+232+25+1574.94+23204+18253.21+27943+450+550+732</f>
        <v>75853.55</v>
      </c>
    </row>
    <row r="14" spans="1:12" s="3" customFormat="1" x14ac:dyDescent="0.25">
      <c r="A14" s="141"/>
      <c r="B14" s="5" t="s">
        <v>880</v>
      </c>
      <c r="C14" s="102">
        <f t="shared" si="0"/>
        <v>286568.16000000003</v>
      </c>
      <c r="D14" s="101">
        <v>131044.11</v>
      </c>
      <c r="E14" s="101">
        <v>49531.97</v>
      </c>
      <c r="F14" s="101"/>
      <c r="G14" s="101">
        <f>8101+899+192+29+269</f>
        <v>9490</v>
      </c>
      <c r="H14" s="101"/>
      <c r="I14" s="101">
        <v>26675</v>
      </c>
      <c r="J14" s="101">
        <v>8966</v>
      </c>
      <c r="K14" s="101">
        <f>8535.8+1383</f>
        <v>9918.7999999999993</v>
      </c>
      <c r="L14" s="101">
        <f>930+130+1400+410+830.3+600+4340.2+31498+8473.78+300+150+650+1230</f>
        <v>50942.28</v>
      </c>
    </row>
    <row r="15" spans="1:12" s="3" customFormat="1" x14ac:dyDescent="0.25">
      <c r="A15" s="141"/>
      <c r="B15" s="5" t="s">
        <v>715</v>
      </c>
      <c r="C15" s="100">
        <f t="shared" si="0"/>
        <v>387610.23</v>
      </c>
      <c r="D15" s="101">
        <v>186465.22</v>
      </c>
      <c r="E15" s="101">
        <v>53397.29</v>
      </c>
      <c r="F15" s="101"/>
      <c r="G15" s="101">
        <f>8011+904+191+78+287</f>
        <v>9471</v>
      </c>
      <c r="H15" s="101"/>
      <c r="I15" s="101">
        <v>26800</v>
      </c>
      <c r="J15" s="101">
        <v>14513</v>
      </c>
      <c r="K15" s="101">
        <f>10149.5+41</f>
        <v>10190.5</v>
      </c>
      <c r="L15" s="103">
        <f>610+200+4350+400+550.3+798+1477+1989.19+26774+41438.73+5371+100+740+150+1825</f>
        <v>86773.22</v>
      </c>
    </row>
    <row r="16" spans="1:12" s="3" customFormat="1" x14ac:dyDescent="0.25">
      <c r="A16" s="141"/>
      <c r="B16" s="6" t="s">
        <v>683</v>
      </c>
      <c r="C16" s="97">
        <f t="shared" ref="C16" si="1">SUM(D16:L16)</f>
        <v>5388394.7000000002</v>
      </c>
      <c r="D16" s="98">
        <f>SUM(D4:D15)</f>
        <v>2510636.31</v>
      </c>
      <c r="E16" s="98">
        <f>SUM(E4:E15)</f>
        <v>1104478.1400000001</v>
      </c>
      <c r="F16" s="98">
        <f>SUM(F4:F15)</f>
        <v>0</v>
      </c>
      <c r="G16" s="98">
        <f t="shared" ref="G16:K16" si="2">SUM(G4:G15)</f>
        <v>116071</v>
      </c>
      <c r="H16" s="98">
        <f t="shared" si="2"/>
        <v>194286.5</v>
      </c>
      <c r="I16" s="98">
        <f t="shared" si="2"/>
        <v>299045</v>
      </c>
      <c r="J16" s="98">
        <f t="shared" si="2"/>
        <v>103124.5</v>
      </c>
      <c r="K16" s="98">
        <f t="shared" si="2"/>
        <v>96587.64</v>
      </c>
      <c r="L16" s="98">
        <f>SUM(L4:L15)</f>
        <v>964165.61</v>
      </c>
    </row>
    <row r="17" spans="1:13" s="3" customFormat="1" x14ac:dyDescent="0.25">
      <c r="A17" s="141">
        <v>2022</v>
      </c>
      <c r="B17" s="5" t="s">
        <v>721</v>
      </c>
      <c r="C17" s="102">
        <f>D17+E17+F17+G17+H17+I17+J17+K17+L17</f>
        <v>267797.35000000003</v>
      </c>
      <c r="D17" s="126">
        <v>134081.48000000001</v>
      </c>
      <c r="E17" s="127">
        <v>56102.36</v>
      </c>
      <c r="F17" s="102"/>
      <c r="G17" s="128">
        <f>6789+884+278+127+1774</f>
        <v>9852</v>
      </c>
      <c r="H17" s="128"/>
      <c r="I17" s="128">
        <v>20440</v>
      </c>
      <c r="J17" s="129">
        <v>7566.5</v>
      </c>
      <c r="K17" s="130">
        <f>8076.7+194</f>
        <v>8270.7000000000007</v>
      </c>
      <c r="L17" s="102">
        <f>1240+45+900+250+874.65+389+636+1444.19+21708+1165.47+1850+90+892</f>
        <v>31484.31</v>
      </c>
      <c r="M17" s="114"/>
    </row>
    <row r="18" spans="1:13" s="3" customFormat="1" x14ac:dyDescent="0.25">
      <c r="A18" s="141"/>
      <c r="B18" s="5" t="s">
        <v>724</v>
      </c>
      <c r="C18" s="102">
        <f t="shared" ref="C18:C28" si="3">D18+E18+F18+G18+H18+I18+J18+K18+L18</f>
        <v>346508.33</v>
      </c>
      <c r="D18" s="126">
        <v>161132.35</v>
      </c>
      <c r="E18" s="127">
        <v>95807.32</v>
      </c>
      <c r="F18" s="102"/>
      <c r="G18" s="128">
        <f>6324+1112+145+50+966</f>
        <v>8597</v>
      </c>
      <c r="H18" s="128"/>
      <c r="I18" s="128">
        <v>20105</v>
      </c>
      <c r="J18" s="131">
        <v>9330</v>
      </c>
      <c r="K18" s="130">
        <f>8548.1+50+2533</f>
        <v>11131.1</v>
      </c>
      <c r="L18" s="102">
        <f>560+2900+650+1124.65+769+277.75+2943.21+20869.33+4335.62+3851+750+500+875</f>
        <v>40405.560000000005</v>
      </c>
    </row>
    <row r="19" spans="1:13" s="3" customFormat="1" x14ac:dyDescent="0.25">
      <c r="A19" s="141"/>
      <c r="B19" s="5" t="s">
        <v>881</v>
      </c>
      <c r="C19" s="102">
        <f>D19+E19+F19+G19+H19+I19+J19+K19+L19</f>
        <v>430789.04</v>
      </c>
      <c r="D19" s="126">
        <v>188176.86</v>
      </c>
      <c r="E19" s="127">
        <v>121668.67</v>
      </c>
      <c r="F19" s="102"/>
      <c r="G19" s="128">
        <f>8220+1072+287+86+779</f>
        <v>10444</v>
      </c>
      <c r="H19" s="128"/>
      <c r="I19" s="128">
        <v>24830</v>
      </c>
      <c r="J19" s="131">
        <v>12740.2</v>
      </c>
      <c r="K19" s="142">
        <f>13696.7+221+4009</f>
        <v>17926.7</v>
      </c>
      <c r="L19" s="102">
        <f>570+3400+750+1488+727+695.62+32024+6723.49+6479.5+550+365+1230</f>
        <v>55002.61</v>
      </c>
    </row>
    <row r="20" spans="1:13" s="3" customFormat="1" x14ac:dyDescent="0.25">
      <c r="A20" s="141"/>
      <c r="B20" s="5" t="s">
        <v>730</v>
      </c>
      <c r="C20" s="102">
        <f>D20+E20+F20+G20+H20+I20+J20+K20+L20</f>
        <v>739634.74</v>
      </c>
      <c r="D20" s="126">
        <v>286738.56</v>
      </c>
      <c r="E20" s="127">
        <v>13048.42</v>
      </c>
      <c r="F20" s="102"/>
      <c r="G20" s="128">
        <v>7718</v>
      </c>
      <c r="H20" s="128">
        <v>316269.5</v>
      </c>
      <c r="I20" s="128">
        <v>18610</v>
      </c>
      <c r="J20" s="131"/>
      <c r="K20" s="142">
        <v>19084.599999999999</v>
      </c>
      <c r="L20" s="102">
        <v>78165.66</v>
      </c>
    </row>
    <row r="21" spans="1:13" s="3" customFormat="1" x14ac:dyDescent="0.25">
      <c r="A21" s="141"/>
      <c r="B21" s="5" t="s">
        <v>732</v>
      </c>
      <c r="C21" s="102">
        <f t="shared" ref="C20:C28" si="4">D21+E21+F21+G21+H21+I21+J21+K21+L21</f>
        <v>0</v>
      </c>
      <c r="D21" s="109"/>
      <c r="E21" s="110"/>
      <c r="F21" s="133"/>
      <c r="G21" s="111"/>
      <c r="H21" s="111"/>
      <c r="I21" s="111"/>
      <c r="J21" s="112"/>
      <c r="K21" s="113"/>
      <c r="L21" s="100"/>
    </row>
    <row r="22" spans="1:13" s="3" customFormat="1" x14ac:dyDescent="0.25">
      <c r="A22" s="141"/>
      <c r="B22" s="5" t="s">
        <v>734</v>
      </c>
      <c r="C22" s="102">
        <f t="shared" si="4"/>
        <v>0</v>
      </c>
      <c r="D22" s="109"/>
      <c r="E22" s="110"/>
      <c r="F22" s="133"/>
      <c r="G22" s="111"/>
      <c r="H22" s="111"/>
      <c r="I22" s="111"/>
      <c r="J22" s="112"/>
      <c r="K22" s="113"/>
      <c r="L22" s="100"/>
    </row>
    <row r="23" spans="1:13" s="3" customFormat="1" x14ac:dyDescent="0.25">
      <c r="A23" s="141"/>
      <c r="B23" s="5" t="s">
        <v>737</v>
      </c>
      <c r="C23" s="102">
        <f t="shared" si="4"/>
        <v>0</v>
      </c>
      <c r="D23" s="109"/>
      <c r="E23" s="110"/>
      <c r="F23" s="133"/>
      <c r="G23" s="111"/>
      <c r="H23" s="111"/>
      <c r="I23" s="111"/>
      <c r="J23" s="112"/>
      <c r="K23" s="113"/>
      <c r="L23" s="100"/>
    </row>
    <row r="24" spans="1:13" s="3" customFormat="1" x14ac:dyDescent="0.25">
      <c r="A24" s="141"/>
      <c r="B24" s="5" t="s">
        <v>740</v>
      </c>
      <c r="C24" s="102">
        <f t="shared" si="4"/>
        <v>0</v>
      </c>
      <c r="D24" s="109"/>
      <c r="E24" s="110"/>
      <c r="F24" s="133"/>
      <c r="G24" s="111"/>
      <c r="H24" s="111"/>
      <c r="I24" s="111"/>
      <c r="J24" s="112"/>
      <c r="K24" s="113"/>
      <c r="L24" s="100"/>
    </row>
    <row r="25" spans="1:13" s="3" customFormat="1" x14ac:dyDescent="0.25">
      <c r="A25" s="141"/>
      <c r="B25" s="5" t="s">
        <v>743</v>
      </c>
      <c r="C25" s="102">
        <f t="shared" si="4"/>
        <v>0</v>
      </c>
      <c r="D25" s="109"/>
      <c r="E25" s="110"/>
      <c r="F25" s="133"/>
      <c r="G25" s="111"/>
      <c r="H25" s="111"/>
      <c r="I25" s="111"/>
      <c r="J25" s="112"/>
      <c r="K25" s="113"/>
      <c r="L25" s="100"/>
    </row>
    <row r="26" spans="1:13" s="3" customFormat="1" x14ac:dyDescent="0.25">
      <c r="A26" s="141"/>
      <c r="B26" s="5" t="s">
        <v>746</v>
      </c>
      <c r="C26" s="102">
        <f t="shared" si="4"/>
        <v>0</v>
      </c>
      <c r="D26" s="109"/>
      <c r="E26" s="110"/>
      <c r="F26" s="133"/>
      <c r="G26" s="111"/>
      <c r="H26" s="111"/>
      <c r="I26" s="111"/>
      <c r="J26" s="112"/>
      <c r="K26" s="113"/>
      <c r="L26" s="100"/>
    </row>
    <row r="27" spans="1:13" s="3" customFormat="1" x14ac:dyDescent="0.25">
      <c r="A27" s="141"/>
      <c r="B27" s="5" t="s">
        <v>882</v>
      </c>
      <c r="C27" s="102">
        <f t="shared" si="4"/>
        <v>0</v>
      </c>
      <c r="D27" s="109"/>
      <c r="E27" s="110"/>
      <c r="F27" s="133"/>
      <c r="G27" s="111"/>
      <c r="H27" s="111"/>
      <c r="I27" s="111"/>
      <c r="J27" s="112"/>
      <c r="K27" s="113"/>
      <c r="L27" s="100"/>
    </row>
    <row r="28" spans="1:13" s="3" customFormat="1" x14ac:dyDescent="0.25">
      <c r="A28" s="141"/>
      <c r="B28" s="5" t="s">
        <v>752</v>
      </c>
      <c r="C28" s="102">
        <f t="shared" si="4"/>
        <v>0</v>
      </c>
      <c r="D28" s="109"/>
      <c r="E28" s="110"/>
      <c r="F28" s="133"/>
      <c r="G28" s="111"/>
      <c r="H28" s="111"/>
      <c r="I28" s="111"/>
      <c r="J28" s="112"/>
      <c r="K28" s="113"/>
      <c r="L28" s="100"/>
    </row>
    <row r="29" spans="1:13" s="3" customFormat="1" x14ac:dyDescent="0.25">
      <c r="A29" s="141"/>
      <c r="B29" s="6" t="s">
        <v>720</v>
      </c>
      <c r="C29" s="97">
        <f>SUM(C17:C28)</f>
        <v>1784729.46</v>
      </c>
      <c r="D29" s="97">
        <f t="shared" ref="D29:L29" si="5">SUM(D17:D28)</f>
        <v>770129.25</v>
      </c>
      <c r="E29" s="97">
        <f t="shared" si="5"/>
        <v>286626.76999999996</v>
      </c>
      <c r="F29" s="94">
        <f t="shared" si="5"/>
        <v>0</v>
      </c>
      <c r="G29" s="97">
        <f t="shared" si="5"/>
        <v>36611</v>
      </c>
      <c r="H29" s="97">
        <f t="shared" si="5"/>
        <v>316269.5</v>
      </c>
      <c r="I29" s="97">
        <f t="shared" si="5"/>
        <v>83985</v>
      </c>
      <c r="J29" s="97">
        <f t="shared" si="5"/>
        <v>29636.7</v>
      </c>
      <c r="K29" s="97">
        <f t="shared" si="5"/>
        <v>56413.1</v>
      </c>
      <c r="L29" s="96">
        <f t="shared" si="5"/>
        <v>205058.14</v>
      </c>
    </row>
    <row r="30" spans="1:13" s="3" customFormat="1" x14ac:dyDescent="0.25">
      <c r="D30" s="4"/>
      <c r="E30" s="4"/>
      <c r="F30" s="4"/>
    </row>
    <row r="31" spans="1:13" s="3" customFormat="1" x14ac:dyDescent="0.25">
      <c r="D31" s="4"/>
      <c r="E31" s="4"/>
      <c r="F31" s="4"/>
    </row>
    <row r="32" spans="1:13" s="3" customFormat="1" x14ac:dyDescent="0.25">
      <c r="D32" s="4"/>
      <c r="E32" s="4"/>
      <c r="F32" s="4"/>
    </row>
    <row r="33" spans="4:6" s="3" customFormat="1" x14ac:dyDescent="0.25">
      <c r="D33" s="4"/>
      <c r="E33" s="4"/>
      <c r="F33" s="4"/>
    </row>
    <row r="34" spans="4:6" s="3" customFormat="1" x14ac:dyDescent="0.25">
      <c r="D34" s="4"/>
      <c r="E34" s="4"/>
      <c r="F34" s="4"/>
    </row>
    <row r="35" spans="4:6" s="3" customFormat="1" x14ac:dyDescent="0.25">
      <c r="D35" s="4"/>
      <c r="E35" s="4"/>
      <c r="F35" s="4"/>
    </row>
    <row r="36" spans="4:6" s="3" customFormat="1" x14ac:dyDescent="0.25">
      <c r="D36" s="4"/>
      <c r="E36" s="4"/>
      <c r="F36" s="4"/>
    </row>
    <row r="37" spans="4:6" s="3" customFormat="1" x14ac:dyDescent="0.25">
      <c r="D37" s="4"/>
      <c r="E37" s="4"/>
      <c r="F37" s="4"/>
    </row>
    <row r="38" spans="4:6" s="3" customFormat="1" x14ac:dyDescent="0.25">
      <c r="D38" s="4"/>
      <c r="E38" s="4"/>
      <c r="F38" s="4"/>
    </row>
    <row r="39" spans="4:6" s="3" customFormat="1" x14ac:dyDescent="0.25">
      <c r="D39" s="4"/>
      <c r="E39" s="4"/>
      <c r="F39" s="4"/>
    </row>
    <row r="40" spans="4:6" s="3" customFormat="1" x14ac:dyDescent="0.25">
      <c r="D40" s="4"/>
      <c r="E40" s="4"/>
      <c r="F40" s="4"/>
    </row>
    <row r="41" spans="4:6" s="3" customFormat="1" x14ac:dyDescent="0.25">
      <c r="D41" s="4"/>
      <c r="E41" s="4"/>
      <c r="F41" s="4"/>
    </row>
    <row r="42" spans="4:6" s="3" customFormat="1" x14ac:dyDescent="0.25">
      <c r="D42" s="4"/>
      <c r="E42" s="4"/>
      <c r="F42" s="4"/>
    </row>
    <row r="43" spans="4:6" s="3" customFormat="1" x14ac:dyDescent="0.25">
      <c r="D43" s="4"/>
      <c r="E43" s="4"/>
      <c r="F43" s="4"/>
    </row>
    <row r="44" spans="4:6" s="3" customFormat="1" x14ac:dyDescent="0.25">
      <c r="D44" s="4"/>
      <c r="E44" s="4"/>
      <c r="F44" s="4"/>
    </row>
    <row r="45" spans="4:6" s="3" customFormat="1" x14ac:dyDescent="0.25">
      <c r="D45" s="4"/>
      <c r="E45" s="4"/>
      <c r="F45" s="4"/>
    </row>
    <row r="46" spans="4:6" s="3" customFormat="1" x14ac:dyDescent="0.25">
      <c r="D46" s="4"/>
      <c r="E46" s="4"/>
      <c r="F46" s="4"/>
    </row>
    <row r="47" spans="4:6" s="3" customFormat="1" x14ac:dyDescent="0.25">
      <c r="D47" s="4"/>
      <c r="E47" s="4"/>
      <c r="F47" s="4"/>
    </row>
    <row r="48" spans="4:6" s="3" customFormat="1" x14ac:dyDescent="0.25">
      <c r="D48" s="4"/>
      <c r="E48" s="4"/>
      <c r="F48" s="4"/>
    </row>
    <row r="49" spans="4:6" s="3" customFormat="1" x14ac:dyDescent="0.25">
      <c r="D49" s="4"/>
      <c r="E49" s="4"/>
      <c r="F49" s="4"/>
    </row>
    <row r="50" spans="4:6" s="3" customFormat="1" x14ac:dyDescent="0.25">
      <c r="D50" s="4"/>
      <c r="E50" s="4"/>
      <c r="F50" s="4"/>
    </row>
    <row r="51" spans="4:6" s="3" customFormat="1" x14ac:dyDescent="0.25">
      <c r="D51" s="4"/>
      <c r="E51" s="4"/>
      <c r="F51" s="4"/>
    </row>
    <row r="52" spans="4:6" s="3" customFormat="1" x14ac:dyDescent="0.25">
      <c r="D52" s="4"/>
      <c r="E52" s="4"/>
      <c r="F52" s="4"/>
    </row>
    <row r="53" spans="4:6" s="3" customFormat="1" x14ac:dyDescent="0.25">
      <c r="D53" s="4"/>
      <c r="E53" s="4"/>
      <c r="F53" s="4"/>
    </row>
    <row r="54" spans="4:6" s="3" customFormat="1" x14ac:dyDescent="0.25">
      <c r="D54" s="4"/>
      <c r="E54" s="4"/>
      <c r="F54" s="4"/>
    </row>
    <row r="55" spans="4:6" s="3" customFormat="1" x14ac:dyDescent="0.25">
      <c r="D55" s="4"/>
      <c r="E55" s="4"/>
      <c r="F55" s="4"/>
    </row>
    <row r="56" spans="4:6" s="3" customFormat="1" x14ac:dyDescent="0.25">
      <c r="D56" s="4"/>
      <c r="E56" s="4"/>
      <c r="F56" s="4"/>
    </row>
    <row r="57" spans="4:6" s="3" customFormat="1" x14ac:dyDescent="0.25">
      <c r="D57" s="4"/>
      <c r="E57" s="4"/>
      <c r="F57" s="4"/>
    </row>
    <row r="58" spans="4:6" s="3" customFormat="1" x14ac:dyDescent="0.25">
      <c r="D58" s="4"/>
      <c r="E58" s="4"/>
      <c r="F58" s="4"/>
    </row>
    <row r="59" spans="4:6" s="3" customFormat="1" x14ac:dyDescent="0.25">
      <c r="D59" s="4"/>
      <c r="E59" s="4"/>
      <c r="F59" s="4"/>
    </row>
    <row r="60" spans="4:6" s="3" customFormat="1" x14ac:dyDescent="0.25">
      <c r="D60" s="4"/>
      <c r="E60" s="4"/>
      <c r="F60" s="4"/>
    </row>
    <row r="61" spans="4:6" s="3" customFormat="1" x14ac:dyDescent="0.25">
      <c r="D61" s="4"/>
      <c r="E61" s="4"/>
      <c r="F61" s="4"/>
    </row>
    <row r="62" spans="4:6" s="3" customFormat="1" x14ac:dyDescent="0.25">
      <c r="D62" s="4"/>
      <c r="E62" s="4"/>
      <c r="F62" s="4"/>
    </row>
    <row r="63" spans="4:6" s="3" customFormat="1" x14ac:dyDescent="0.25">
      <c r="D63" s="4"/>
      <c r="E63" s="4"/>
      <c r="F63" s="4"/>
    </row>
    <row r="64" spans="4:6" s="3" customFormat="1" x14ac:dyDescent="0.25">
      <c r="D64" s="4"/>
      <c r="E64" s="4"/>
      <c r="F64" s="4"/>
    </row>
    <row r="65" spans="4:6" s="3" customFormat="1" x14ac:dyDescent="0.25">
      <c r="D65" s="4"/>
      <c r="E65" s="4"/>
      <c r="F65" s="4"/>
    </row>
    <row r="66" spans="4:6" s="3" customFormat="1" x14ac:dyDescent="0.25">
      <c r="D66" s="4"/>
      <c r="E66" s="4"/>
      <c r="F66" s="4"/>
    </row>
    <row r="67" spans="4:6" s="3" customFormat="1" x14ac:dyDescent="0.25">
      <c r="D67" s="4"/>
      <c r="E67" s="4"/>
      <c r="F67" s="4"/>
    </row>
    <row r="68" spans="4:6" s="3" customFormat="1" x14ac:dyDescent="0.25">
      <c r="D68" s="4"/>
      <c r="E68" s="4"/>
      <c r="F68" s="4"/>
    </row>
    <row r="69" spans="4:6" s="3" customFormat="1" x14ac:dyDescent="0.25">
      <c r="D69" s="4"/>
      <c r="E69" s="4"/>
      <c r="F69" s="4"/>
    </row>
    <row r="70" spans="4:6" s="3" customFormat="1" x14ac:dyDescent="0.25">
      <c r="D70" s="4"/>
      <c r="E70" s="4"/>
      <c r="F70" s="4"/>
    </row>
    <row r="71" spans="4:6" s="3" customFormat="1" x14ac:dyDescent="0.25">
      <c r="D71" s="4"/>
      <c r="E71" s="4"/>
      <c r="F71" s="4"/>
    </row>
    <row r="72" spans="4:6" s="3" customFormat="1" x14ac:dyDescent="0.25">
      <c r="D72" s="4"/>
      <c r="E72" s="4"/>
      <c r="F72" s="4"/>
    </row>
    <row r="73" spans="4:6" s="3" customFormat="1" x14ac:dyDescent="0.25">
      <c r="D73" s="4"/>
      <c r="E73" s="4"/>
      <c r="F73" s="4"/>
    </row>
    <row r="74" spans="4:6" s="3" customFormat="1" x14ac:dyDescent="0.25">
      <c r="D74" s="4"/>
      <c r="E74" s="4"/>
      <c r="F74" s="4"/>
    </row>
    <row r="75" spans="4:6" s="3" customFormat="1" x14ac:dyDescent="0.25">
      <c r="D75" s="4"/>
      <c r="E75" s="4"/>
      <c r="F75" s="4"/>
    </row>
    <row r="76" spans="4:6" s="3" customFormat="1" x14ac:dyDescent="0.25">
      <c r="D76" s="4"/>
      <c r="E76" s="4"/>
      <c r="F76" s="4"/>
    </row>
    <row r="77" spans="4:6" s="3" customFormat="1" x14ac:dyDescent="0.25">
      <c r="D77" s="4"/>
      <c r="E77" s="4"/>
      <c r="F77" s="4"/>
    </row>
    <row r="78" spans="4:6" s="3" customFormat="1" x14ac:dyDescent="0.25">
      <c r="D78" s="4"/>
      <c r="E78" s="4"/>
      <c r="F78" s="4"/>
    </row>
    <row r="79" spans="4:6" s="3" customFormat="1" x14ac:dyDescent="0.25">
      <c r="D79" s="4"/>
      <c r="E79" s="4"/>
      <c r="F79" s="4"/>
    </row>
    <row r="80" spans="4:6" s="3" customFormat="1" x14ac:dyDescent="0.25">
      <c r="D80" s="4"/>
      <c r="E80" s="4"/>
      <c r="F80" s="4"/>
    </row>
    <row r="81" spans="4:6" s="3" customFormat="1" x14ac:dyDescent="0.25">
      <c r="D81" s="4"/>
      <c r="E81" s="4"/>
      <c r="F81" s="4"/>
    </row>
    <row r="82" spans="4:6" s="3" customFormat="1" x14ac:dyDescent="0.25">
      <c r="D82" s="4"/>
      <c r="E82" s="4"/>
      <c r="F82" s="4"/>
    </row>
    <row r="83" spans="4:6" s="3" customFormat="1" x14ac:dyDescent="0.25">
      <c r="D83" s="4"/>
      <c r="E83" s="4"/>
      <c r="F83" s="4"/>
    </row>
    <row r="84" spans="4:6" s="3" customFormat="1" x14ac:dyDescent="0.25">
      <c r="D84" s="4"/>
      <c r="E84" s="4"/>
      <c r="F84" s="4"/>
    </row>
    <row r="85" spans="4:6" s="3" customFormat="1" x14ac:dyDescent="0.25">
      <c r="D85" s="4"/>
      <c r="E85" s="4"/>
      <c r="F85" s="4"/>
    </row>
    <row r="86" spans="4:6" s="3" customFormat="1" x14ac:dyDescent="0.25">
      <c r="D86" s="4"/>
      <c r="E86" s="4"/>
      <c r="F86" s="4"/>
    </row>
    <row r="87" spans="4:6" s="3" customFormat="1" x14ac:dyDescent="0.25">
      <c r="D87" s="4"/>
      <c r="E87" s="4"/>
      <c r="F87" s="4"/>
    </row>
    <row r="88" spans="4:6" s="3" customFormat="1" x14ac:dyDescent="0.25">
      <c r="D88" s="4"/>
      <c r="E88" s="4"/>
      <c r="F88" s="4"/>
    </row>
    <row r="89" spans="4:6" s="3" customFormat="1" x14ac:dyDescent="0.25">
      <c r="D89" s="4"/>
      <c r="E89" s="4"/>
      <c r="F89" s="4"/>
    </row>
    <row r="90" spans="4:6" s="3" customFormat="1" x14ac:dyDescent="0.25">
      <c r="D90" s="4"/>
      <c r="E90" s="4"/>
      <c r="F90" s="4"/>
    </row>
    <row r="91" spans="4:6" s="3" customFormat="1" x14ac:dyDescent="0.25">
      <c r="D91" s="4"/>
      <c r="E91" s="4"/>
      <c r="F91" s="4"/>
    </row>
    <row r="92" spans="4:6" s="3" customFormat="1" x14ac:dyDescent="0.25">
      <c r="D92" s="4"/>
      <c r="E92" s="4"/>
      <c r="F92" s="4"/>
    </row>
    <row r="93" spans="4:6" s="3" customFormat="1" x14ac:dyDescent="0.25">
      <c r="D93" s="4"/>
      <c r="E93" s="4"/>
      <c r="F93" s="4"/>
    </row>
    <row r="94" spans="4:6" s="3" customFormat="1" x14ac:dyDescent="0.25">
      <c r="D94" s="4"/>
      <c r="E94" s="4"/>
      <c r="F94" s="4"/>
    </row>
    <row r="95" spans="4:6" s="3" customFormat="1" x14ac:dyDescent="0.25">
      <c r="D95" s="4"/>
      <c r="E95" s="4"/>
      <c r="F95" s="4"/>
    </row>
    <row r="96" spans="4:6" s="3" customFormat="1" x14ac:dyDescent="0.25">
      <c r="D96" s="4"/>
      <c r="E96" s="4"/>
      <c r="F96" s="4"/>
    </row>
    <row r="97" spans="4:6" s="3" customFormat="1" x14ac:dyDescent="0.25">
      <c r="D97" s="4"/>
      <c r="E97" s="4"/>
      <c r="F97" s="4"/>
    </row>
    <row r="98" spans="4:6" s="3" customFormat="1" x14ac:dyDescent="0.25">
      <c r="D98" s="4"/>
      <c r="E98" s="4"/>
      <c r="F98" s="4"/>
    </row>
    <row r="99" spans="4:6" s="3" customFormat="1" x14ac:dyDescent="0.25">
      <c r="D99" s="4"/>
      <c r="E99" s="4"/>
      <c r="F99" s="4"/>
    </row>
    <row r="100" spans="4:6" s="3" customFormat="1" x14ac:dyDescent="0.25">
      <c r="D100" s="4"/>
      <c r="E100" s="4"/>
      <c r="F100" s="4"/>
    </row>
    <row r="101" spans="4:6" s="3" customFormat="1" x14ac:dyDescent="0.25">
      <c r="D101" s="4"/>
      <c r="E101" s="4"/>
      <c r="F101" s="4"/>
    </row>
    <row r="102" spans="4:6" s="3" customFormat="1" x14ac:dyDescent="0.25">
      <c r="D102" s="4"/>
      <c r="E102" s="4"/>
      <c r="F102" s="4"/>
    </row>
    <row r="103" spans="4:6" s="3" customFormat="1" x14ac:dyDescent="0.25">
      <c r="D103" s="4"/>
      <c r="E103" s="4"/>
      <c r="F103" s="4"/>
    </row>
    <row r="104" spans="4:6" s="3" customFormat="1" x14ac:dyDescent="0.25">
      <c r="D104" s="4"/>
      <c r="E104" s="4"/>
      <c r="F104" s="4"/>
    </row>
    <row r="105" spans="4:6" s="3" customFormat="1" x14ac:dyDescent="0.25">
      <c r="D105" s="4"/>
      <c r="E105" s="4"/>
      <c r="F105" s="4"/>
    </row>
    <row r="106" spans="4:6" s="3" customFormat="1" x14ac:dyDescent="0.25">
      <c r="D106" s="4"/>
      <c r="E106" s="4"/>
      <c r="F106" s="4"/>
    </row>
    <row r="107" spans="4:6" s="3" customFormat="1" x14ac:dyDescent="0.25">
      <c r="D107" s="4"/>
      <c r="E107" s="4"/>
      <c r="F107" s="4"/>
    </row>
    <row r="108" spans="4:6" s="3" customFormat="1" x14ac:dyDescent="0.25">
      <c r="D108" s="4"/>
      <c r="E108" s="4"/>
      <c r="F108" s="4"/>
    </row>
    <row r="109" spans="4:6" s="3" customFormat="1" x14ac:dyDescent="0.25">
      <c r="D109" s="4"/>
      <c r="E109" s="4"/>
      <c r="F109" s="4"/>
    </row>
    <row r="110" spans="4:6" s="3" customFormat="1" x14ac:dyDescent="0.25">
      <c r="D110" s="4"/>
      <c r="E110" s="4"/>
      <c r="F110" s="4"/>
    </row>
    <row r="111" spans="4:6" s="3" customFormat="1" x14ac:dyDescent="0.25">
      <c r="D111" s="4"/>
      <c r="E111" s="4"/>
      <c r="F111" s="4"/>
    </row>
    <row r="112" spans="4:6" s="3" customFormat="1" x14ac:dyDescent="0.25">
      <c r="D112" s="4"/>
      <c r="E112" s="4"/>
      <c r="F112" s="4"/>
    </row>
    <row r="113" spans="4:6" s="3" customFormat="1" x14ac:dyDescent="0.25">
      <c r="D113" s="4"/>
      <c r="E113" s="4"/>
      <c r="F113" s="4"/>
    </row>
    <row r="114" spans="4:6" s="3" customFormat="1" x14ac:dyDescent="0.25">
      <c r="D114" s="4"/>
      <c r="E114" s="4"/>
      <c r="F114" s="4"/>
    </row>
    <row r="115" spans="4:6" s="3" customFormat="1" x14ac:dyDescent="0.25">
      <c r="D115" s="4"/>
      <c r="E115" s="4"/>
      <c r="F115" s="4"/>
    </row>
    <row r="116" spans="4:6" s="3" customFormat="1" x14ac:dyDescent="0.25">
      <c r="D116" s="4"/>
      <c r="E116" s="4"/>
      <c r="F116" s="4"/>
    </row>
    <row r="117" spans="4:6" s="3" customFormat="1" x14ac:dyDescent="0.25">
      <c r="D117" s="4"/>
      <c r="E117" s="4"/>
      <c r="F117" s="4"/>
    </row>
    <row r="118" spans="4:6" s="3" customFormat="1" x14ac:dyDescent="0.25">
      <c r="D118" s="4"/>
      <c r="E118" s="4"/>
      <c r="F118" s="4"/>
    </row>
    <row r="119" spans="4:6" s="3" customFormat="1" x14ac:dyDescent="0.25">
      <c r="D119" s="4"/>
      <c r="E119" s="4"/>
      <c r="F119" s="4"/>
    </row>
    <row r="120" spans="4:6" s="3" customFormat="1" x14ac:dyDescent="0.25">
      <c r="D120" s="4"/>
      <c r="E120" s="4"/>
      <c r="F120" s="4"/>
    </row>
    <row r="121" spans="4:6" s="3" customFormat="1" x14ac:dyDescent="0.25">
      <c r="D121" s="4"/>
      <c r="E121" s="4"/>
      <c r="F121" s="4"/>
    </row>
    <row r="122" spans="4:6" s="3" customFormat="1" x14ac:dyDescent="0.25">
      <c r="D122" s="4"/>
      <c r="E122" s="4"/>
      <c r="F122" s="4"/>
    </row>
    <row r="123" spans="4:6" s="3" customFormat="1" x14ac:dyDescent="0.25">
      <c r="D123" s="4"/>
      <c r="E123" s="4"/>
      <c r="F123" s="4"/>
    </row>
    <row r="124" spans="4:6" s="3" customFormat="1" x14ac:dyDescent="0.25">
      <c r="D124" s="4"/>
      <c r="E124" s="4"/>
      <c r="F124" s="4"/>
    </row>
    <row r="125" spans="4:6" s="3" customFormat="1" x14ac:dyDescent="0.25">
      <c r="D125" s="4"/>
      <c r="E125" s="4"/>
      <c r="F125" s="4"/>
    </row>
    <row r="126" spans="4:6" s="3" customFormat="1" x14ac:dyDescent="0.25">
      <c r="D126" s="4"/>
      <c r="E126" s="4"/>
      <c r="F126" s="4"/>
    </row>
    <row r="127" spans="4:6" s="3" customFormat="1" x14ac:dyDescent="0.25">
      <c r="D127" s="4"/>
      <c r="E127" s="4"/>
      <c r="F127" s="4"/>
    </row>
    <row r="128" spans="4:6" s="3" customFormat="1" x14ac:dyDescent="0.25">
      <c r="D128" s="4"/>
      <c r="E128" s="4"/>
      <c r="F128" s="4"/>
    </row>
    <row r="129" spans="4:6" s="3" customFormat="1" x14ac:dyDescent="0.25">
      <c r="D129" s="4"/>
      <c r="E129" s="4"/>
      <c r="F129" s="4"/>
    </row>
    <row r="130" spans="4:6" s="3" customFormat="1" x14ac:dyDescent="0.25">
      <c r="D130" s="4"/>
      <c r="E130" s="4"/>
      <c r="F130" s="4"/>
    </row>
    <row r="131" spans="4:6" s="3" customFormat="1" x14ac:dyDescent="0.25">
      <c r="D131" s="4"/>
      <c r="E131" s="4"/>
      <c r="F131" s="4"/>
    </row>
    <row r="132" spans="4:6" s="3" customFormat="1" x14ac:dyDescent="0.25">
      <c r="D132" s="4"/>
      <c r="E132" s="4"/>
      <c r="F132" s="4"/>
    </row>
    <row r="133" spans="4:6" s="3" customFormat="1" x14ac:dyDescent="0.25">
      <c r="D133" s="4"/>
      <c r="E133" s="4"/>
      <c r="F133" s="4"/>
    </row>
    <row r="134" spans="4:6" s="3" customFormat="1" x14ac:dyDescent="0.25">
      <c r="D134" s="4"/>
      <c r="E134" s="4"/>
      <c r="F134" s="4"/>
    </row>
    <row r="135" spans="4:6" s="3" customFormat="1" x14ac:dyDescent="0.25">
      <c r="D135" s="4"/>
      <c r="E135" s="4"/>
      <c r="F135" s="4"/>
    </row>
    <row r="136" spans="4:6" s="3" customFormat="1" x14ac:dyDescent="0.25">
      <c r="D136" s="4"/>
      <c r="E136" s="4"/>
      <c r="F136" s="4"/>
    </row>
    <row r="137" spans="4:6" s="3" customFormat="1" x14ac:dyDescent="0.25">
      <c r="D137" s="4"/>
      <c r="E137" s="4"/>
      <c r="F137" s="4"/>
    </row>
    <row r="138" spans="4:6" s="3" customFormat="1" x14ac:dyDescent="0.25">
      <c r="D138" s="4"/>
      <c r="E138" s="4"/>
      <c r="F138" s="4"/>
    </row>
    <row r="139" spans="4:6" s="3" customFormat="1" x14ac:dyDescent="0.25">
      <c r="D139" s="4"/>
      <c r="E139" s="4"/>
      <c r="F139" s="4"/>
    </row>
    <row r="140" spans="4:6" s="3" customFormat="1" x14ac:dyDescent="0.25">
      <c r="D140" s="4"/>
      <c r="E140" s="4"/>
      <c r="F140" s="4"/>
    </row>
    <row r="141" spans="4:6" s="3" customFormat="1" x14ac:dyDescent="0.25">
      <c r="D141" s="4"/>
      <c r="E141" s="4"/>
      <c r="F141" s="4"/>
    </row>
    <row r="142" spans="4:6" s="3" customFormat="1" x14ac:dyDescent="0.25">
      <c r="D142" s="4"/>
      <c r="E142" s="4"/>
      <c r="F142" s="4"/>
    </row>
    <row r="143" spans="4:6" s="3" customFormat="1" x14ac:dyDescent="0.25">
      <c r="D143" s="4"/>
      <c r="E143" s="4"/>
      <c r="F143" s="4"/>
    </row>
    <row r="144" spans="4:6" s="3" customFormat="1" x14ac:dyDescent="0.25">
      <c r="D144" s="4"/>
      <c r="E144" s="4"/>
      <c r="F144" s="4"/>
    </row>
    <row r="145" spans="4:6" s="3" customFormat="1" x14ac:dyDescent="0.25">
      <c r="D145" s="4"/>
      <c r="E145" s="4"/>
      <c r="F145" s="4"/>
    </row>
    <row r="146" spans="4:6" s="3" customFormat="1" x14ac:dyDescent="0.25">
      <c r="D146" s="4"/>
      <c r="E146" s="4"/>
      <c r="F146" s="4"/>
    </row>
    <row r="147" spans="4:6" s="3" customFormat="1" x14ac:dyDescent="0.25">
      <c r="D147" s="4"/>
      <c r="E147" s="4"/>
      <c r="F147" s="4"/>
    </row>
    <row r="148" spans="4:6" s="3" customFormat="1" x14ac:dyDescent="0.25">
      <c r="D148" s="4"/>
      <c r="E148" s="4"/>
      <c r="F148" s="4"/>
    </row>
    <row r="149" spans="4:6" s="3" customFormat="1" x14ac:dyDescent="0.25">
      <c r="D149" s="4"/>
      <c r="E149" s="4"/>
      <c r="F149" s="4"/>
    </row>
    <row r="150" spans="4:6" s="3" customFormat="1" x14ac:dyDescent="0.25">
      <c r="D150" s="4"/>
      <c r="E150" s="4"/>
      <c r="F150" s="4"/>
    </row>
    <row r="151" spans="4:6" s="3" customFormat="1" x14ac:dyDescent="0.25">
      <c r="D151" s="4"/>
      <c r="E151" s="4"/>
      <c r="F151" s="4"/>
    </row>
    <row r="152" spans="4:6" s="3" customFormat="1" x14ac:dyDescent="0.25">
      <c r="D152" s="4"/>
      <c r="E152" s="4"/>
      <c r="F152" s="4"/>
    </row>
    <row r="153" spans="4:6" s="3" customFormat="1" x14ac:dyDescent="0.25">
      <c r="D153" s="4"/>
      <c r="E153" s="4"/>
      <c r="F153" s="4"/>
    </row>
    <row r="154" spans="4:6" s="3" customFormat="1" x14ac:dyDescent="0.25">
      <c r="D154" s="4"/>
      <c r="E154" s="4"/>
      <c r="F154" s="4"/>
    </row>
  </sheetData>
  <mergeCells count="2">
    <mergeCell ref="A4:A16"/>
    <mergeCell ref="A17:A29"/>
  </mergeCells>
  <pageMargins left="0.25" right="0.25" top="0.75" bottom="0.75" header="0.3" footer="0.3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Fisnik Sylejmani</cp:lastModifiedBy>
  <cp:lastPrinted>2020-10-26T07:01:40Z</cp:lastPrinted>
  <dcterms:created xsi:type="dcterms:W3CDTF">2015-03-12T08:53:45Z</dcterms:created>
  <dcterms:modified xsi:type="dcterms:W3CDTF">2022-05-12T08:48:12Z</dcterms:modified>
</cp:coreProperties>
</file>