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tor.Ujkani\Desktop\"/>
    </mc:Choice>
  </mc:AlternateContent>
  <xr:revisionPtr revIDLastSave="0" documentId="13_ncr:1_{AE3DB5F6-1B39-4D09-985D-EE8A9FA181F9}" xr6:coauthVersionLast="47" xr6:coauthVersionMax="47" xr10:uidLastSave="{00000000-0000-0000-0000-000000000000}"/>
  <bookViews>
    <workbookView xWindow="28680" yWindow="15" windowWidth="29040" windowHeight="17640" xr2:uid="{00000000-000D-0000-FFFF-FFFF00000000}"/>
  </bookViews>
  <sheets>
    <sheet name="2023" sheetId="1" r:id="rId1"/>
  </sheets>
  <definedNames>
    <definedName name="_xlnm.Print_Area" localSheetId="0">'2023'!$A$1:$M$110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2" i="1" l="1"/>
  <c r="J71" i="1" l="1"/>
  <c r="J100" i="1"/>
  <c r="M12" i="1" l="1"/>
  <c r="L12" i="1"/>
  <c r="M11" i="1"/>
  <c r="L11" i="1"/>
  <c r="M10" i="1" l="1"/>
  <c r="L10" i="1"/>
  <c r="L86" i="1"/>
  <c r="L85" i="1" s="1"/>
  <c r="L74" i="1"/>
  <c r="L67" i="1"/>
  <c r="L64" i="1"/>
  <c r="M57" i="1"/>
  <c r="L57" i="1"/>
  <c r="M56" i="1"/>
  <c r="M55" i="1" s="1"/>
  <c r="L56" i="1"/>
  <c r="L55" i="1" s="1"/>
  <c r="L52" i="1"/>
  <c r="L49" i="1"/>
  <c r="M45" i="1"/>
  <c r="M43" i="1" s="1"/>
  <c r="L45" i="1"/>
  <c r="L43" i="1" s="1"/>
  <c r="M44" i="1"/>
  <c r="L44" i="1"/>
  <c r="M40" i="1"/>
  <c r="L40" i="1"/>
  <c r="L34" i="1"/>
  <c r="L31" i="1"/>
  <c r="M31" i="1"/>
  <c r="L28" i="1"/>
  <c r="M24" i="1"/>
  <c r="M7" i="1" s="1"/>
  <c r="L24" i="1"/>
  <c r="L7" i="1" s="1"/>
  <c r="M23" i="1"/>
  <c r="M6" i="1" s="1"/>
  <c r="L23" i="1"/>
  <c r="L6" i="1" s="1"/>
  <c r="L22" i="1"/>
  <c r="M28" i="1"/>
  <c r="M25" i="1"/>
  <c r="L25" i="1"/>
  <c r="M19" i="1"/>
  <c r="L19" i="1"/>
  <c r="M16" i="1"/>
  <c r="M13" i="1"/>
  <c r="L13" i="1"/>
  <c r="L16" i="1"/>
  <c r="M98" i="1"/>
  <c r="L98" i="1"/>
  <c r="M97" i="1"/>
  <c r="L97" i="1"/>
  <c r="L96" i="1" s="1"/>
  <c r="M102" i="1"/>
  <c r="M105" i="1"/>
  <c r="L105" i="1"/>
  <c r="L102" i="1"/>
  <c r="M88" i="1"/>
  <c r="M9" i="1" s="1"/>
  <c r="L88" i="1"/>
  <c r="L9" i="1" s="1"/>
  <c r="M87" i="1"/>
  <c r="L87" i="1"/>
  <c r="M86" i="1"/>
  <c r="M85" i="1" s="1"/>
  <c r="M82" i="1"/>
  <c r="L82" i="1"/>
  <c r="M73" i="1"/>
  <c r="M74" i="1"/>
  <c r="M75" i="1"/>
  <c r="L75" i="1"/>
  <c r="L73" i="1" s="1"/>
  <c r="M79" i="1"/>
  <c r="L79" i="1"/>
  <c r="M76" i="1"/>
  <c r="L76" i="1"/>
  <c r="M70" i="1"/>
  <c r="L70" i="1"/>
  <c r="M67" i="1"/>
  <c r="M64" i="1"/>
  <c r="M61" i="1"/>
  <c r="L61" i="1"/>
  <c r="M58" i="1"/>
  <c r="L58" i="1"/>
  <c r="M52" i="1"/>
  <c r="L5" i="1" l="1"/>
  <c r="L4" i="1" s="1"/>
  <c r="M5" i="1"/>
  <c r="M96" i="1"/>
  <c r="M49" i="1"/>
  <c r="M46" i="1"/>
  <c r="L46" i="1"/>
  <c r="M22" i="1"/>
  <c r="P64" i="1"/>
  <c r="J65" i="1" l="1"/>
  <c r="J97" i="1" l="1"/>
  <c r="I84" i="1"/>
  <c r="G80" i="1"/>
  <c r="G77" i="1"/>
  <c r="I60" i="1"/>
  <c r="J47" i="1"/>
  <c r="J41" i="1"/>
  <c r="I33" i="1"/>
  <c r="H65" i="1" l="1"/>
  <c r="G50" i="1"/>
  <c r="G41" i="1"/>
  <c r="G26" i="1"/>
  <c r="G65" i="1"/>
  <c r="I24" i="1"/>
  <c r="I57" i="1"/>
  <c r="F106" i="1"/>
  <c r="F109" i="1"/>
  <c r="G103" i="1"/>
  <c r="G109" i="1"/>
  <c r="F80" i="1"/>
  <c r="F74" i="1" s="1"/>
  <c r="G49" i="1" l="1"/>
  <c r="H49" i="1"/>
  <c r="I49" i="1"/>
  <c r="J49" i="1"/>
  <c r="J46" i="1"/>
  <c r="I46" i="1"/>
  <c r="H46" i="1"/>
  <c r="G46" i="1"/>
  <c r="F46" i="1"/>
  <c r="K46" i="1" s="1"/>
  <c r="H45" i="1"/>
  <c r="G45" i="1"/>
  <c r="G44" i="1"/>
  <c r="F45" i="1"/>
  <c r="F44" i="1"/>
  <c r="G31" i="1"/>
  <c r="H31" i="1"/>
  <c r="I31" i="1"/>
  <c r="J31" i="1"/>
  <c r="F31" i="1"/>
  <c r="G28" i="1"/>
  <c r="H28" i="1"/>
  <c r="I28" i="1"/>
  <c r="J28" i="1"/>
  <c r="F28" i="1"/>
  <c r="G25" i="1"/>
  <c r="H25" i="1"/>
  <c r="I25" i="1"/>
  <c r="J25" i="1"/>
  <c r="F25" i="1"/>
  <c r="G23" i="1"/>
  <c r="H23" i="1"/>
  <c r="I23" i="1"/>
  <c r="J23" i="1"/>
  <c r="F23" i="1"/>
  <c r="K20" i="1"/>
  <c r="K41" i="1"/>
  <c r="N41" i="1"/>
  <c r="O83" i="1"/>
  <c r="L113" i="1"/>
  <c r="F43" i="1" l="1"/>
  <c r="M113" i="1"/>
  <c r="M114" i="1" s="1"/>
  <c r="L115" i="1"/>
  <c r="E71" i="1"/>
  <c r="L117" i="1" l="1"/>
  <c r="L114" i="1"/>
  <c r="O32" i="1"/>
  <c r="J44" i="1"/>
  <c r="J40" i="1"/>
  <c r="I86" i="1"/>
  <c r="I12" i="1"/>
  <c r="K66" i="1"/>
  <c r="K110" i="1"/>
  <c r="K109" i="1"/>
  <c r="J108" i="1"/>
  <c r="I108" i="1"/>
  <c r="H108" i="1"/>
  <c r="G108" i="1"/>
  <c r="F108" i="1"/>
  <c r="E108" i="1"/>
  <c r="K107" i="1"/>
  <c r="K106" i="1"/>
  <c r="J105" i="1"/>
  <c r="I105" i="1"/>
  <c r="H105" i="1"/>
  <c r="G105" i="1"/>
  <c r="F105" i="1"/>
  <c r="E105" i="1"/>
  <c r="K104" i="1"/>
  <c r="K103" i="1"/>
  <c r="J102" i="1"/>
  <c r="I102" i="1"/>
  <c r="H102" i="1"/>
  <c r="G102" i="1"/>
  <c r="F102" i="1"/>
  <c r="K102" i="1" s="1"/>
  <c r="E102" i="1"/>
  <c r="K101" i="1"/>
  <c r="K100" i="1"/>
  <c r="J99" i="1"/>
  <c r="I99" i="1"/>
  <c r="H99" i="1"/>
  <c r="G99" i="1"/>
  <c r="F99" i="1"/>
  <c r="E99" i="1"/>
  <c r="J98" i="1"/>
  <c r="J96" i="1" s="1"/>
  <c r="I98" i="1"/>
  <c r="H98" i="1"/>
  <c r="G98" i="1"/>
  <c r="F98" i="1"/>
  <c r="E98" i="1"/>
  <c r="I97" i="1"/>
  <c r="H97" i="1"/>
  <c r="G97" i="1"/>
  <c r="F97" i="1"/>
  <c r="E97" i="1"/>
  <c r="K95" i="1"/>
  <c r="K94" i="1"/>
  <c r="K93" i="1"/>
  <c r="J92" i="1"/>
  <c r="I92" i="1"/>
  <c r="H92" i="1"/>
  <c r="G92" i="1"/>
  <c r="F92" i="1"/>
  <c r="E92" i="1"/>
  <c r="K91" i="1"/>
  <c r="K90" i="1"/>
  <c r="J89" i="1"/>
  <c r="I89" i="1"/>
  <c r="H89" i="1"/>
  <c r="G89" i="1"/>
  <c r="F89" i="1"/>
  <c r="E89" i="1"/>
  <c r="J88" i="1"/>
  <c r="J9" i="1" s="1"/>
  <c r="I88" i="1"/>
  <c r="I9" i="1" s="1"/>
  <c r="H88" i="1"/>
  <c r="H9" i="1" s="1"/>
  <c r="G88" i="1"/>
  <c r="G9" i="1" s="1"/>
  <c r="F88" i="1"/>
  <c r="F9" i="1" s="1"/>
  <c r="E88" i="1"/>
  <c r="E9" i="1" s="1"/>
  <c r="J87" i="1"/>
  <c r="I87" i="1"/>
  <c r="H87" i="1"/>
  <c r="G87" i="1"/>
  <c r="F87" i="1"/>
  <c r="E87" i="1"/>
  <c r="J86" i="1"/>
  <c r="J85" i="1" s="1"/>
  <c r="H86" i="1"/>
  <c r="G86" i="1"/>
  <c r="F86" i="1"/>
  <c r="E86" i="1"/>
  <c r="K84" i="1"/>
  <c r="K83" i="1"/>
  <c r="J82" i="1"/>
  <c r="J8" i="1" s="1"/>
  <c r="K8" i="1" s="1"/>
  <c r="I82" i="1"/>
  <c r="H82" i="1"/>
  <c r="G82" i="1"/>
  <c r="F82" i="1"/>
  <c r="E82" i="1"/>
  <c r="K81" i="1"/>
  <c r="G79" i="1"/>
  <c r="J79" i="1"/>
  <c r="I79" i="1"/>
  <c r="H79" i="1"/>
  <c r="E79" i="1"/>
  <c r="K78" i="1"/>
  <c r="K77" i="1"/>
  <c r="J76" i="1"/>
  <c r="I76" i="1"/>
  <c r="H76" i="1"/>
  <c r="G76" i="1"/>
  <c r="F76" i="1"/>
  <c r="E76" i="1"/>
  <c r="I75" i="1"/>
  <c r="H75" i="1"/>
  <c r="G75" i="1"/>
  <c r="F75" i="1"/>
  <c r="E75" i="1"/>
  <c r="E73" i="1" s="1"/>
  <c r="J74" i="1"/>
  <c r="J73" i="1" s="1"/>
  <c r="I74" i="1"/>
  <c r="H74" i="1"/>
  <c r="H73" i="1" s="1"/>
  <c r="G74" i="1"/>
  <c r="E74" i="1"/>
  <c r="K72" i="1"/>
  <c r="K71" i="1"/>
  <c r="J70" i="1"/>
  <c r="I70" i="1"/>
  <c r="H70" i="1"/>
  <c r="G70" i="1"/>
  <c r="F70" i="1"/>
  <c r="E70" i="1"/>
  <c r="K69" i="1"/>
  <c r="K68" i="1"/>
  <c r="J67" i="1"/>
  <c r="I67" i="1"/>
  <c r="H67" i="1"/>
  <c r="G67" i="1"/>
  <c r="F67" i="1"/>
  <c r="E67" i="1"/>
  <c r="K65" i="1"/>
  <c r="J64" i="1"/>
  <c r="I64" i="1"/>
  <c r="H64" i="1"/>
  <c r="G64" i="1"/>
  <c r="F64" i="1"/>
  <c r="E64" i="1"/>
  <c r="K63" i="1"/>
  <c r="K62" i="1"/>
  <c r="J61" i="1"/>
  <c r="I61" i="1"/>
  <c r="H61" i="1"/>
  <c r="G61" i="1"/>
  <c r="F61" i="1"/>
  <c r="E61" i="1"/>
  <c r="K60" i="1"/>
  <c r="K59" i="1"/>
  <c r="J58" i="1"/>
  <c r="I58" i="1"/>
  <c r="H58" i="1"/>
  <c r="G58" i="1"/>
  <c r="F58" i="1"/>
  <c r="E58" i="1"/>
  <c r="J57" i="1"/>
  <c r="H57" i="1"/>
  <c r="G57" i="1"/>
  <c r="F57" i="1"/>
  <c r="E57" i="1"/>
  <c r="J56" i="1"/>
  <c r="J55" i="1" s="1"/>
  <c r="I56" i="1"/>
  <c r="H56" i="1"/>
  <c r="H55" i="1" s="1"/>
  <c r="G56" i="1"/>
  <c r="F56" i="1"/>
  <c r="E56" i="1"/>
  <c r="K54" i="1"/>
  <c r="K53" i="1"/>
  <c r="J52" i="1"/>
  <c r="I52" i="1"/>
  <c r="H52" i="1"/>
  <c r="G52" i="1"/>
  <c r="F52" i="1"/>
  <c r="K52" i="1" s="1"/>
  <c r="E52" i="1"/>
  <c r="K51" i="1"/>
  <c r="K50" i="1"/>
  <c r="F49" i="1"/>
  <c r="E49" i="1"/>
  <c r="K48" i="1"/>
  <c r="K47" i="1"/>
  <c r="E46" i="1"/>
  <c r="J45" i="1"/>
  <c r="I45" i="1"/>
  <c r="G43" i="1"/>
  <c r="E45" i="1"/>
  <c r="I44" i="1"/>
  <c r="H44" i="1"/>
  <c r="E44" i="1"/>
  <c r="K42" i="1"/>
  <c r="I40" i="1"/>
  <c r="H40" i="1"/>
  <c r="G40" i="1"/>
  <c r="F40" i="1"/>
  <c r="E40" i="1"/>
  <c r="K39" i="1"/>
  <c r="K38" i="1"/>
  <c r="J37" i="1"/>
  <c r="I37" i="1"/>
  <c r="H37" i="1"/>
  <c r="G37" i="1"/>
  <c r="F37" i="1"/>
  <c r="E37" i="1"/>
  <c r="K36" i="1"/>
  <c r="K35" i="1"/>
  <c r="J34" i="1"/>
  <c r="I34" i="1"/>
  <c r="H34" i="1"/>
  <c r="G34" i="1"/>
  <c r="F34" i="1"/>
  <c r="E34" i="1"/>
  <c r="K33" i="1"/>
  <c r="K32" i="1"/>
  <c r="E31" i="1"/>
  <c r="K30" i="1"/>
  <c r="K29" i="1"/>
  <c r="E28" i="1"/>
  <c r="K27" i="1"/>
  <c r="K26" i="1"/>
  <c r="E25" i="1"/>
  <c r="J24" i="1"/>
  <c r="J22" i="1" s="1"/>
  <c r="H24" i="1"/>
  <c r="H22" i="1" s="1"/>
  <c r="G24" i="1"/>
  <c r="F24" i="1"/>
  <c r="E24" i="1"/>
  <c r="E23" i="1"/>
  <c r="K21" i="1"/>
  <c r="J19" i="1"/>
  <c r="I19" i="1"/>
  <c r="H19" i="1"/>
  <c r="G19" i="1"/>
  <c r="F19" i="1"/>
  <c r="K19" i="1" s="1"/>
  <c r="E19" i="1"/>
  <c r="K18" i="1"/>
  <c r="K17" i="1"/>
  <c r="J16" i="1"/>
  <c r="I16" i="1"/>
  <c r="H16" i="1"/>
  <c r="G16" i="1"/>
  <c r="F16" i="1"/>
  <c r="E16" i="1"/>
  <c r="K15" i="1"/>
  <c r="K14" i="1"/>
  <c r="J13" i="1"/>
  <c r="J10" i="1" s="1"/>
  <c r="I13" i="1"/>
  <c r="I10" i="1" s="1"/>
  <c r="H13" i="1"/>
  <c r="G13" i="1"/>
  <c r="F13" i="1"/>
  <c r="E13" i="1"/>
  <c r="J12" i="1"/>
  <c r="H12" i="1"/>
  <c r="G12" i="1"/>
  <c r="F12" i="1"/>
  <c r="E12" i="1"/>
  <c r="J11" i="1"/>
  <c r="I11" i="1"/>
  <c r="H11" i="1"/>
  <c r="G11" i="1"/>
  <c r="F11" i="1"/>
  <c r="E11" i="1"/>
  <c r="G55" i="1" l="1"/>
  <c r="E22" i="1"/>
  <c r="J6" i="1"/>
  <c r="I7" i="1"/>
  <c r="N31" i="1"/>
  <c r="N32" i="1" s="1"/>
  <c r="O18" i="1"/>
  <c r="E43" i="1"/>
  <c r="H85" i="1"/>
  <c r="K9" i="1"/>
  <c r="H7" i="1"/>
  <c r="J7" i="1"/>
  <c r="J5" i="1" s="1"/>
  <c r="I43" i="1"/>
  <c r="E96" i="1"/>
  <c r="I6" i="1"/>
  <c r="G7" i="1"/>
  <c r="F7" i="1"/>
  <c r="F6" i="1"/>
  <c r="M120" i="1"/>
  <c r="I96" i="1"/>
  <c r="K98" i="1"/>
  <c r="K86" i="1"/>
  <c r="G73" i="1"/>
  <c r="I73" i="1"/>
  <c r="H43" i="1"/>
  <c r="K43" i="1" s="1"/>
  <c r="K34" i="1"/>
  <c r="I22" i="1"/>
  <c r="K23" i="1"/>
  <c r="G10" i="1"/>
  <c r="K16" i="1"/>
  <c r="K13" i="1"/>
  <c r="K58" i="1"/>
  <c r="E10" i="1"/>
  <c r="G22" i="1"/>
  <c r="K11" i="1"/>
  <c r="K49" i="1"/>
  <c r="K105" i="1"/>
  <c r="K12" i="1"/>
  <c r="H10" i="1"/>
  <c r="E55" i="1"/>
  <c r="I55" i="1"/>
  <c r="K87" i="1"/>
  <c r="G96" i="1"/>
  <c r="K24" i="1"/>
  <c r="K31" i="1"/>
  <c r="K44" i="1"/>
  <c r="K57" i="1"/>
  <c r="E7" i="1"/>
  <c r="F22" i="1"/>
  <c r="K22" i="1" s="1"/>
  <c r="K25" i="1"/>
  <c r="K28" i="1"/>
  <c r="K37" i="1"/>
  <c r="K40" i="1"/>
  <c r="K45" i="1"/>
  <c r="K56" i="1"/>
  <c r="K61" i="1"/>
  <c r="K67" i="1"/>
  <c r="K70" i="1"/>
  <c r="K76" i="1"/>
  <c r="K82" i="1"/>
  <c r="E85" i="1"/>
  <c r="I85" i="1"/>
  <c r="K89" i="1"/>
  <c r="K92" i="1"/>
  <c r="H96" i="1"/>
  <c r="K64" i="1"/>
  <c r="K108" i="1"/>
  <c r="H6" i="1"/>
  <c r="K97" i="1"/>
  <c r="K99" i="1"/>
  <c r="F73" i="1"/>
  <c r="K74" i="1"/>
  <c r="G6" i="1"/>
  <c r="F10" i="1"/>
  <c r="K75" i="1"/>
  <c r="J43" i="1"/>
  <c r="F55" i="1"/>
  <c r="K55" i="1" s="1"/>
  <c r="F79" i="1"/>
  <c r="K79" i="1" s="1"/>
  <c r="N79" i="1" s="1"/>
  <c r="K80" i="1"/>
  <c r="F85" i="1"/>
  <c r="K88" i="1"/>
  <c r="G85" i="1"/>
  <c r="E6" i="1"/>
  <c r="F96" i="1"/>
  <c r="K6" i="1" l="1"/>
  <c r="E5" i="1"/>
  <c r="I5" i="1"/>
  <c r="P9" i="1" s="1"/>
  <c r="Q9" i="1" s="1"/>
  <c r="K7" i="1"/>
  <c r="N13" i="1" s="1"/>
  <c r="K10" i="1"/>
  <c r="H5" i="1"/>
  <c r="P7" i="1" s="1"/>
  <c r="Q7" i="1" s="1"/>
  <c r="K113" i="1"/>
  <c r="K114" i="1" s="1"/>
  <c r="F5" i="1"/>
  <c r="G5" i="1"/>
  <c r="O79" i="1"/>
  <c r="P79" i="1"/>
  <c r="N86" i="1" s="1"/>
  <c r="K96" i="1"/>
  <c r="K73" i="1"/>
  <c r="K85" i="1"/>
  <c r="K5" i="1" l="1"/>
  <c r="K4" i="1" s="1"/>
  <c r="P5" i="1"/>
  <c r="Q5" i="1" s="1"/>
  <c r="F4" i="1"/>
  <c r="P6" i="1"/>
  <c r="Q6" i="1" s="1"/>
  <c r="P10" i="1"/>
  <c r="Q10" i="1" s="1"/>
  <c r="N3" i="1" l="1"/>
  <c r="M4" i="1" l="1"/>
</calcChain>
</file>

<file path=xl/sharedStrings.xml><?xml version="1.0" encoding="utf-8"?>
<sst xmlns="http://schemas.openxmlformats.org/spreadsheetml/2006/main" count="157" uniqueCount="85">
  <si>
    <t>Nr</t>
  </si>
  <si>
    <t>Program</t>
  </si>
  <si>
    <t>Nën program</t>
  </si>
  <si>
    <t>Përshkrimi</t>
  </si>
  <si>
    <t>Stafi</t>
  </si>
  <si>
    <t>MALLRA DHE SHËRBIME</t>
  </si>
  <si>
    <t>SHPENZIME KOMUNALE</t>
  </si>
  <si>
    <t>SUBVENCIONE DHE TRANSFERE</t>
  </si>
  <si>
    <t>SHPENZIME KAPITALE</t>
  </si>
  <si>
    <t>TOTALI</t>
  </si>
  <si>
    <t>a</t>
  </si>
  <si>
    <t>b</t>
  </si>
  <si>
    <t>c</t>
  </si>
  <si>
    <t>d</t>
  </si>
  <si>
    <t>e</t>
  </si>
  <si>
    <t>g</t>
  </si>
  <si>
    <t>h</t>
  </si>
  <si>
    <t>i</t>
  </si>
  <si>
    <t>j</t>
  </si>
  <si>
    <t>Zyra e Kryetarit</t>
  </si>
  <si>
    <t>1.1.1</t>
  </si>
  <si>
    <t>1.1.2</t>
  </si>
  <si>
    <t>Njësia e Auditimit të Brendshëm</t>
  </si>
  <si>
    <t xml:space="preserve">Zyra e Kuvendit Komunal </t>
  </si>
  <si>
    <t>Administrata dhe personeli</t>
  </si>
  <si>
    <t>1.3.1</t>
  </si>
  <si>
    <t>Administrata</t>
  </si>
  <si>
    <t>1.3.2</t>
  </si>
  <si>
    <t xml:space="preserve">Çështjet gjinore </t>
  </si>
  <si>
    <t>1.3.3</t>
  </si>
  <si>
    <t xml:space="preserve">Integrimet Evropiane </t>
  </si>
  <si>
    <t>Inspekcioni</t>
  </si>
  <si>
    <t>Prokurimi</t>
  </si>
  <si>
    <t>Buxhet dhe Financa</t>
  </si>
  <si>
    <t>Shërbimet publike, mbrojtja civile, emergjenca</t>
  </si>
  <si>
    <t>1.7.1</t>
  </si>
  <si>
    <t>Zjarrëfikësit dhe inspektimet</t>
  </si>
  <si>
    <t>1.7.2</t>
  </si>
  <si>
    <t xml:space="preserve">Menaxhimi i katastrofave natyrore </t>
  </si>
  <si>
    <t>Zyra Lokale për Komunitete dhe Kthim</t>
  </si>
  <si>
    <t>Bujqësia, Pylltaria dhe Zhvillimi rural</t>
  </si>
  <si>
    <t>1.9.1</t>
  </si>
  <si>
    <t>Bujqësia</t>
  </si>
  <si>
    <t>1.9.2</t>
  </si>
  <si>
    <t xml:space="preserve">Pylltaria dhe inspeksioni </t>
  </si>
  <si>
    <t>1.10</t>
  </si>
  <si>
    <t>Zhvillimi Ekonomik</t>
  </si>
  <si>
    <t>Gjeodezi dhe Kadastër</t>
  </si>
  <si>
    <t>Planifikimi Hapsinor dhe Rregullativ</t>
  </si>
  <si>
    <t>Shëndetësia</t>
  </si>
  <si>
    <t>1.13.1</t>
  </si>
  <si>
    <t>Administrata  e  Shëndetësisë</t>
  </si>
  <si>
    <t>1.13.2</t>
  </si>
  <si>
    <t>Shërbimet e shëndetësisë primare</t>
  </si>
  <si>
    <t>Shërbimet sociale</t>
  </si>
  <si>
    <t>Kulturë, Rini dhe Sport</t>
  </si>
  <si>
    <t xml:space="preserve">Arsimi dhe shkenca </t>
  </si>
  <si>
    <t>Administrata e Arsimit</t>
  </si>
  <si>
    <t>1.16.2</t>
  </si>
  <si>
    <t>Arsimi parashkollor - Çerdhja</t>
  </si>
  <si>
    <t>1.16.3</t>
  </si>
  <si>
    <t xml:space="preserve">Arsimi Fillor </t>
  </si>
  <si>
    <t>1.16.4</t>
  </si>
  <si>
    <t xml:space="preserve">Arsimi i mesëm </t>
  </si>
  <si>
    <t>Teatri i Qytetit</t>
  </si>
  <si>
    <t>Shërbimet Kulturore dhe Sportive</t>
  </si>
  <si>
    <t>Komunali</t>
  </si>
  <si>
    <t>1.16.1</t>
  </si>
  <si>
    <t>G. Përgjithshëm</t>
  </si>
  <si>
    <t>G. Arsimit</t>
  </si>
  <si>
    <t>G. Shëndetësisë</t>
  </si>
  <si>
    <t>Financimi Teat</t>
  </si>
  <si>
    <t>THV</t>
  </si>
  <si>
    <t>Grantet Qeveritare</t>
  </si>
  <si>
    <t>Të Hyrat Vetanake</t>
  </si>
  <si>
    <t>Financimi për Teatrot</t>
  </si>
  <si>
    <t>Paga dhe Rroga</t>
  </si>
  <si>
    <t>Mallra dhe Sherbime</t>
  </si>
  <si>
    <t>Subvencione dhe T</t>
  </si>
  <si>
    <t>Investime Kapitale</t>
  </si>
  <si>
    <t>PAGA DHE SHTESA</t>
  </si>
  <si>
    <t>Plani i ndarjeve buxhetore të Komunës së Mitrovicës për vitin 2023 - 2025</t>
  </si>
  <si>
    <t>Sherbimet rezide</t>
  </si>
  <si>
    <t>Shërbime Rezidenciale</t>
  </si>
  <si>
    <t>SHPENZIMET   TOTALE    KOMUNALE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</si>
</sst>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</font>
    <font>
      <b/>
      <i/>
      <sz val="10"/>
      <color rgb="FF0000FF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0" fillId="3" borderId="0" xfId="0" applyFill="1"/>
    <xf numFmtId="0" fontId="0" fillId="4" borderId="0" xfId="0" applyFill="1"/>
    <xf numFmtId="0" fontId="6" fillId="0" borderId="0" xfId="0" applyFont="1"/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43" fontId="0" fillId="3" borderId="0" xfId="0" applyNumberFormat="1" applyFill="1"/>
    <xf numFmtId="43" fontId="7" fillId="0" borderId="0" xfId="0" applyNumberFormat="1" applyFont="1"/>
    <xf numFmtId="0" fontId="4" fillId="3" borderId="2" xfId="0" applyFont="1" applyFill="1" applyBorder="1" applyAlignment="1" applyProtection="1">
      <alignment horizontal="left" vertical="center"/>
      <protection locked="0"/>
    </xf>
    <xf numFmtId="43" fontId="4" fillId="3" borderId="4" xfId="1" applyFont="1" applyFill="1" applyBorder="1" applyAlignment="1">
      <alignment vertical="center"/>
    </xf>
    <xf numFmtId="43" fontId="0" fillId="0" borderId="0" xfId="0" applyNumberFormat="1"/>
    <xf numFmtId="43" fontId="4" fillId="3" borderId="0" xfId="1" applyFont="1" applyFill="1" applyBorder="1" applyAlignment="1">
      <alignment vertical="center"/>
    </xf>
    <xf numFmtId="43" fontId="4" fillId="4" borderId="0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43" fontId="4" fillId="6" borderId="2" xfId="1" applyFont="1" applyFill="1" applyBorder="1" applyAlignment="1">
      <alignment vertical="center"/>
    </xf>
    <xf numFmtId="43" fontId="4" fillId="6" borderId="2" xfId="1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43" fontId="4" fillId="7" borderId="2" xfId="1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 applyProtection="1">
      <alignment horizontal="left" vertical="center"/>
      <protection locked="0"/>
    </xf>
    <xf numFmtId="43" fontId="4" fillId="8" borderId="2" xfId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3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3" fontId="3" fillId="3" borderId="2" xfId="1" applyFont="1" applyFill="1" applyBorder="1" applyAlignment="1">
      <alignment horizontal="center" vertical="center"/>
    </xf>
    <xf numFmtId="43" fontId="0" fillId="4" borderId="0" xfId="1" applyFont="1" applyFill="1"/>
    <xf numFmtId="0" fontId="0" fillId="4" borderId="0" xfId="0" applyFill="1" applyAlignment="1">
      <alignment horizontal="center" wrapText="1"/>
    </xf>
    <xf numFmtId="43" fontId="2" fillId="3" borderId="0" xfId="0" applyNumberFormat="1" applyFont="1" applyFill="1"/>
    <xf numFmtId="0" fontId="3" fillId="3" borderId="10" xfId="1" applyNumberFormat="1" applyFont="1" applyFill="1" applyBorder="1" applyAlignment="1">
      <alignment horizontal="center" vertical="center"/>
    </xf>
    <xf numFmtId="43" fontId="3" fillId="3" borderId="10" xfId="1" applyFont="1" applyFill="1" applyBorder="1" applyAlignment="1">
      <alignment horizontal="center" vertical="center"/>
    </xf>
    <xf numFmtId="43" fontId="0" fillId="3" borderId="0" xfId="1" applyFont="1" applyFill="1"/>
    <xf numFmtId="43" fontId="6" fillId="0" borderId="0" xfId="0" applyNumberFormat="1" applyFont="1"/>
    <xf numFmtId="43" fontId="7" fillId="0" borderId="0" xfId="1" applyFont="1"/>
    <xf numFmtId="43" fontId="12" fillId="10" borderId="0" xfId="0" applyNumberFormat="1" applyFont="1" applyFill="1"/>
    <xf numFmtId="43" fontId="12" fillId="0" borderId="0" xfId="0" applyNumberFormat="1" applyFont="1"/>
    <xf numFmtId="43" fontId="11" fillId="3" borderId="0" xfId="0" applyNumberFormat="1" applyFont="1" applyFill="1"/>
    <xf numFmtId="0" fontId="3" fillId="5" borderId="16" xfId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43" fontId="3" fillId="2" borderId="19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7" borderId="26" xfId="1" applyFont="1" applyFill="1" applyBorder="1" applyAlignment="1">
      <alignment horizontal="center" vertical="center"/>
    </xf>
    <xf numFmtId="43" fontId="3" fillId="9" borderId="26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2" borderId="26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43" fontId="8" fillId="5" borderId="11" xfId="1" applyFont="1" applyFill="1" applyBorder="1" applyAlignment="1">
      <alignment horizontal="center" vertical="center"/>
    </xf>
    <xf numFmtId="43" fontId="8" fillId="5" borderId="16" xfId="1" applyFont="1" applyFill="1" applyBorder="1" applyAlignment="1">
      <alignment horizontal="center" vertical="center"/>
    </xf>
    <xf numFmtId="43" fontId="8" fillId="5" borderId="20" xfId="1" applyFont="1" applyFill="1" applyBorder="1" applyAlignment="1">
      <alignment horizontal="center" vertical="center"/>
    </xf>
    <xf numFmtId="43" fontId="4" fillId="7" borderId="5" xfId="1" applyFont="1" applyFill="1" applyBorder="1" applyAlignment="1">
      <alignment vertical="center"/>
    </xf>
    <xf numFmtId="43" fontId="4" fillId="8" borderId="5" xfId="1" applyFont="1" applyFill="1" applyBorder="1" applyAlignment="1">
      <alignment vertical="center"/>
    </xf>
    <xf numFmtId="43" fontId="4" fillId="6" borderId="5" xfId="1" applyFont="1" applyFill="1" applyBorder="1" applyAlignment="1">
      <alignment vertical="center"/>
    </xf>
    <xf numFmtId="43" fontId="4" fillId="3" borderId="5" xfId="1" applyFont="1" applyFill="1" applyBorder="1" applyAlignment="1">
      <alignment vertical="center"/>
    </xf>
    <xf numFmtId="43" fontId="4" fillId="4" borderId="5" xfId="1" applyFont="1" applyFill="1" applyBorder="1" applyAlignment="1">
      <alignment vertical="center"/>
    </xf>
    <xf numFmtId="43" fontId="4" fillId="6" borderId="5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43" fontId="3" fillId="7" borderId="25" xfId="1" applyFont="1" applyFill="1" applyBorder="1" applyAlignment="1">
      <alignment horizontal="center" vertical="center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>
      <alignment horizontal="center" vertical="center"/>
    </xf>
    <xf numFmtId="43" fontId="4" fillId="7" borderId="9" xfId="1" applyFont="1" applyFill="1" applyBorder="1" applyAlignment="1">
      <alignment vertical="center"/>
    </xf>
    <xf numFmtId="43" fontId="4" fillId="7" borderId="17" xfId="1" applyFont="1" applyFill="1" applyBorder="1" applyAlignment="1">
      <alignment vertical="center"/>
    </xf>
    <xf numFmtId="43" fontId="3" fillId="7" borderId="24" xfId="1" applyFont="1" applyFill="1" applyBorder="1" applyAlignment="1">
      <alignment horizontal="center" vertical="center"/>
    </xf>
    <xf numFmtId="0" fontId="4" fillId="6" borderId="10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vertical="center"/>
    </xf>
    <xf numFmtId="43" fontId="4" fillId="3" borderId="12" xfId="1" applyFont="1" applyFill="1" applyBorder="1" applyAlignment="1">
      <alignment vertical="center"/>
    </xf>
    <xf numFmtId="43" fontId="3" fillId="3" borderId="25" xfId="1" applyFont="1" applyFill="1" applyBorder="1" applyAlignment="1">
      <alignment horizontal="center" vertical="center"/>
    </xf>
    <xf numFmtId="0" fontId="4" fillId="7" borderId="10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>
      <alignment horizontal="center" vertical="center"/>
    </xf>
    <xf numFmtId="43" fontId="4" fillId="7" borderId="10" xfId="1" applyFont="1" applyFill="1" applyBorder="1" applyAlignment="1">
      <alignment vertical="center"/>
    </xf>
    <xf numFmtId="43" fontId="4" fillId="7" borderId="12" xfId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43" fontId="3" fillId="3" borderId="10" xfId="1" applyFont="1" applyFill="1" applyBorder="1" applyAlignment="1">
      <alignment vertical="center"/>
    </xf>
    <xf numFmtId="43" fontId="3" fillId="3" borderId="12" xfId="1" applyFont="1" applyFill="1" applyBorder="1" applyAlignment="1">
      <alignment vertical="center"/>
    </xf>
    <xf numFmtId="43" fontId="14" fillId="11" borderId="30" xfId="0" applyNumberFormat="1" applyFont="1" applyFill="1" applyBorder="1" applyAlignment="1">
      <alignment horizontal="center" vertical="center"/>
    </xf>
    <xf numFmtId="43" fontId="13" fillId="11" borderId="38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vertical="center"/>
    </xf>
    <xf numFmtId="43" fontId="4" fillId="3" borderId="17" xfId="1" applyFont="1" applyFill="1" applyBorder="1" applyAlignment="1">
      <alignment vertical="center"/>
    </xf>
    <xf numFmtId="0" fontId="4" fillId="12" borderId="5" xfId="0" applyFont="1" applyFill="1" applyBorder="1" applyAlignment="1">
      <alignment horizontal="center" vertical="center"/>
    </xf>
    <xf numFmtId="43" fontId="3" fillId="13" borderId="26" xfId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43" fontId="3" fillId="15" borderId="26" xfId="1" applyFont="1" applyFill="1" applyBorder="1" applyAlignment="1">
      <alignment horizontal="center" vertical="center"/>
    </xf>
    <xf numFmtId="43" fontId="3" fillId="6" borderId="26" xfId="1" applyFont="1" applyFill="1" applyBorder="1" applyAlignment="1">
      <alignment vertical="center"/>
    </xf>
    <xf numFmtId="0" fontId="4" fillId="4" borderId="2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43" fontId="4" fillId="4" borderId="9" xfId="1" applyFont="1" applyFill="1" applyBorder="1" applyAlignment="1">
      <alignment vertical="center"/>
    </xf>
    <xf numFmtId="43" fontId="4" fillId="4" borderId="17" xfId="1" applyFont="1" applyFill="1" applyBorder="1" applyAlignment="1">
      <alignment vertical="center"/>
    </xf>
    <xf numFmtId="0" fontId="3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0" xfId="1" applyNumberFormat="1" applyFont="1" applyFill="1" applyBorder="1" applyAlignment="1">
      <alignment horizontal="center" vertical="center"/>
    </xf>
    <xf numFmtId="43" fontId="3" fillId="3" borderId="40" xfId="1" applyFont="1" applyFill="1" applyBorder="1" applyAlignment="1">
      <alignment horizontal="center" vertical="center"/>
    </xf>
    <xf numFmtId="43" fontId="3" fillId="3" borderId="41" xfId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/>
    </xf>
    <xf numFmtId="43" fontId="3" fillId="3" borderId="43" xfId="1" applyFont="1" applyFill="1" applyBorder="1" applyAlignment="1">
      <alignment horizontal="center" vertical="center"/>
    </xf>
    <xf numFmtId="43" fontId="3" fillId="3" borderId="44" xfId="1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46" xfId="1" applyNumberFormat="1" applyFont="1" applyFill="1" applyBorder="1" applyAlignment="1">
      <alignment horizontal="center" vertical="center"/>
    </xf>
    <xf numFmtId="43" fontId="3" fillId="3" borderId="46" xfId="1" applyFont="1" applyFill="1" applyBorder="1" applyAlignment="1">
      <alignment horizontal="center" vertical="center"/>
    </xf>
    <xf numFmtId="43" fontId="3" fillId="3" borderId="47" xfId="1" applyFont="1" applyFill="1" applyBorder="1" applyAlignment="1">
      <alignment horizontal="center" vertical="center"/>
    </xf>
    <xf numFmtId="43" fontId="9" fillId="0" borderId="29" xfId="0" applyNumberFormat="1" applyFont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textRotation="90"/>
    </xf>
    <xf numFmtId="0" fontId="4" fillId="5" borderId="27" xfId="0" applyFont="1" applyFill="1" applyBorder="1" applyAlignment="1">
      <alignment horizontal="center" vertical="center" textRotation="90"/>
    </xf>
    <xf numFmtId="0" fontId="4" fillId="5" borderId="35" xfId="0" applyFont="1" applyFill="1" applyBorder="1" applyAlignment="1">
      <alignment horizontal="center" vertical="center" textRotation="90" wrapText="1"/>
    </xf>
    <xf numFmtId="0" fontId="4" fillId="5" borderId="36" xfId="0" applyFont="1" applyFill="1" applyBorder="1" applyAlignment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left" vertical="center"/>
      <protection locked="0"/>
    </xf>
    <xf numFmtId="0" fontId="4" fillId="5" borderId="27" xfId="0" applyFont="1" applyFill="1" applyBorder="1" applyAlignment="1" applyProtection="1">
      <alignment horizontal="left" vertical="center"/>
      <protection locked="0"/>
    </xf>
    <xf numFmtId="0" fontId="4" fillId="5" borderId="3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6B8B7"/>
      <color rgb="FFF2DCDB"/>
      <color rgb="FFFCD5B4"/>
      <color rgb="FFFDE9D9"/>
      <color rgb="FFFFFFCC"/>
      <color rgb="FF0000FF"/>
      <color rgb="FFFFFFFF"/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1"/>
  <sheetViews>
    <sheetView tabSelected="1" view="pageBreakPreview" zoomScale="90" zoomScaleNormal="100" zoomScaleSheetLayoutView="90" workbookViewId="0">
      <pane ySplit="9" topLeftCell="A24" activePane="bottomLeft" state="frozen"/>
      <selection pane="bottomLeft" activeCell="M85" sqref="M85"/>
    </sheetView>
  </sheetViews>
  <sheetFormatPr defaultRowHeight="15" x14ac:dyDescent="0.25"/>
  <cols>
    <col min="1" max="1" width="5.7109375" style="3" bestFit="1" customWidth="1"/>
    <col min="2" max="2" width="5.28515625" style="3" bestFit="1" customWidth="1"/>
    <col min="3" max="3" width="7.5703125" style="3" customWidth="1"/>
    <col min="4" max="4" width="42.42578125" style="47" bestFit="1" customWidth="1"/>
    <col min="5" max="5" width="5" style="3" bestFit="1" customWidth="1"/>
    <col min="6" max="10" width="19.140625" style="3" customWidth="1"/>
    <col min="11" max="13" width="19.140625" style="18" customWidth="1"/>
    <col min="14" max="14" width="19.140625" style="1" customWidth="1"/>
    <col min="15" max="15" width="14.28515625" style="1" bestFit="1" customWidth="1"/>
    <col min="16" max="16" width="14.85546875" style="1" customWidth="1"/>
    <col min="17" max="17" width="13.42578125" style="1" customWidth="1"/>
    <col min="18" max="47" width="9.140625" style="1"/>
  </cols>
  <sheetData>
    <row r="1" spans="1:47" ht="26.25" customHeight="1" thickBot="1" x14ac:dyDescent="0.3">
      <c r="A1" s="148" t="s">
        <v>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60">
        <v>1042067</v>
      </c>
    </row>
    <row r="2" spans="1:47" ht="26.25" customHeight="1" thickBot="1" x14ac:dyDescent="0.3">
      <c r="A2" s="153" t="s">
        <v>0</v>
      </c>
      <c r="B2" s="155" t="s">
        <v>1</v>
      </c>
      <c r="C2" s="157" t="s">
        <v>2</v>
      </c>
      <c r="D2" s="159" t="s">
        <v>3</v>
      </c>
      <c r="E2" s="161" t="s">
        <v>4</v>
      </c>
      <c r="F2" s="145">
        <v>2023</v>
      </c>
      <c r="G2" s="146"/>
      <c r="H2" s="146"/>
      <c r="I2" s="146"/>
      <c r="J2" s="146"/>
      <c r="K2" s="147"/>
      <c r="L2" s="151">
        <v>2024</v>
      </c>
      <c r="M2" s="151">
        <v>2025</v>
      </c>
      <c r="N2" s="60">
        <v>27678596</v>
      </c>
    </row>
    <row r="3" spans="1:47" ht="26.25" customHeight="1" thickBot="1" x14ac:dyDescent="0.3">
      <c r="A3" s="154"/>
      <c r="B3" s="156"/>
      <c r="C3" s="158"/>
      <c r="D3" s="160"/>
      <c r="E3" s="162"/>
      <c r="F3" s="76" t="s">
        <v>80</v>
      </c>
      <c r="G3" s="77" t="s">
        <v>5</v>
      </c>
      <c r="H3" s="76" t="s">
        <v>6</v>
      </c>
      <c r="I3" s="77" t="s">
        <v>7</v>
      </c>
      <c r="J3" s="76" t="s">
        <v>8</v>
      </c>
      <c r="K3" s="78" t="s">
        <v>9</v>
      </c>
      <c r="L3" s="152"/>
      <c r="M3" s="152"/>
      <c r="N3" s="65">
        <f>N2-M5</f>
        <v>-180000</v>
      </c>
      <c r="O3" s="19">
        <v>2023</v>
      </c>
      <c r="P3" s="19"/>
      <c r="Q3" s="19"/>
    </row>
    <row r="4" spans="1:47" s="51" customFormat="1" ht="18" customHeight="1" thickBot="1" x14ac:dyDescent="0.3">
      <c r="A4" s="79" t="s">
        <v>10</v>
      </c>
      <c r="B4" s="75" t="s">
        <v>11</v>
      </c>
      <c r="C4" s="75" t="s">
        <v>12</v>
      </c>
      <c r="D4" s="75" t="s">
        <v>13</v>
      </c>
      <c r="E4" s="75" t="s">
        <v>14</v>
      </c>
      <c r="F4" s="144">
        <f>12603554-F5</f>
        <v>0</v>
      </c>
      <c r="G4" s="75" t="s">
        <v>15</v>
      </c>
      <c r="H4" s="75" t="s">
        <v>16</v>
      </c>
      <c r="I4" s="75" t="s">
        <v>17</v>
      </c>
      <c r="J4" s="75" t="s">
        <v>18</v>
      </c>
      <c r="K4" s="112">
        <f>25011350-K5</f>
        <v>0</v>
      </c>
      <c r="L4" s="113">
        <f>26636529-L5</f>
        <v>0</v>
      </c>
      <c r="M4" s="113">
        <f>27678596-M5</f>
        <v>-180000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</row>
    <row r="5" spans="1:47" s="17" customFormat="1" ht="19.5" customHeight="1" thickBot="1" x14ac:dyDescent="0.3">
      <c r="A5" s="80">
        <v>1</v>
      </c>
      <c r="B5" s="81"/>
      <c r="C5" s="82"/>
      <c r="D5" s="67" t="s">
        <v>84</v>
      </c>
      <c r="E5" s="66">
        <f>E10+E19+E22+E34+E37+E40+E43+E52+E55+E64+E67+E70+E73+E82+E85+E96</f>
        <v>1989</v>
      </c>
      <c r="F5" s="83">
        <f>F6+F7+F8+F9</f>
        <v>12603554</v>
      </c>
      <c r="G5" s="84">
        <f>G6+G7+G8+G9</f>
        <v>3838141</v>
      </c>
      <c r="H5" s="83">
        <f>H6+H7+H8+H9</f>
        <v>610100</v>
      </c>
      <c r="I5" s="84">
        <f>I6+I7+I8+I9</f>
        <v>1227659</v>
      </c>
      <c r="J5" s="85">
        <f>J6+J7+J8+J9</f>
        <v>6731896</v>
      </c>
      <c r="K5" s="83">
        <f>SUM(F5:J5)</f>
        <v>25011350</v>
      </c>
      <c r="L5" s="83">
        <f>L6+L7+L9</f>
        <v>26636529</v>
      </c>
      <c r="M5" s="83">
        <f>M6+M7+M8+M9</f>
        <v>27858596</v>
      </c>
      <c r="N5" s="52" t="s">
        <v>76</v>
      </c>
      <c r="O5" s="20">
        <v>12603554</v>
      </c>
      <c r="P5" s="57">
        <f>F5</f>
        <v>12603554</v>
      </c>
      <c r="Q5" s="57">
        <f>O5-P5</f>
        <v>0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s="17" customFormat="1" ht="19.5" customHeight="1" x14ac:dyDescent="0.25">
      <c r="A6" s="131"/>
      <c r="B6" s="132"/>
      <c r="C6" s="132"/>
      <c r="D6" s="132" t="s">
        <v>73</v>
      </c>
      <c r="E6" s="133">
        <f>E11+E20+E23+E35+E38+E41+E44+E53+E56+E65+E68+E71+E74+E83+E86+E97</f>
        <v>1967</v>
      </c>
      <c r="F6" s="134">
        <f>F11+F20+F23+F35+F38+F41+F44+F53+F56+F65+F68+F71+F74+F83+F86+F97</f>
        <v>12429164</v>
      </c>
      <c r="G6" s="134">
        <f t="shared" ref="F6:H7" si="0">G11+G20+G23+G35+G38+G41+G44+G53+G56+G65+G68+G71+G74+G83+G86+G97</f>
        <v>3076141</v>
      </c>
      <c r="H6" s="134">
        <f t="shared" si="0"/>
        <v>602100</v>
      </c>
      <c r="I6" s="134">
        <f>I11+I20+I23+I35+I38+I41+I44+I53+I56+I65+I68+I71+I74+I83+I86+I97</f>
        <v>0</v>
      </c>
      <c r="J6" s="135">
        <f>J11+J20+J23+J35+J38+J41+J44+J53+J56+J65+J68+J71+J74+J86+J97</f>
        <v>4857685</v>
      </c>
      <c r="K6" s="123">
        <f>SUM(F6:J6)</f>
        <v>20965090</v>
      </c>
      <c r="L6" s="135">
        <f>L11+L20+L23+L35+L38+L41+L44+L53+L56+L65+L68+L71+L74+L83+L86+L97</f>
        <v>22636276</v>
      </c>
      <c r="M6" s="135">
        <f>M11+M20+M23+M35+M38+M41+M44+M53+M56+M65+M68+M71+M74+M83+M86+M97</f>
        <v>23509499</v>
      </c>
      <c r="N6" s="53" t="s">
        <v>77</v>
      </c>
      <c r="O6" s="20">
        <v>3838141</v>
      </c>
      <c r="P6" s="20">
        <f>G5</f>
        <v>3838141</v>
      </c>
      <c r="Q6" s="57">
        <f t="shared" ref="Q6:Q10" si="1">O6-P6</f>
        <v>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17" customFormat="1" ht="19.5" customHeight="1" x14ac:dyDescent="0.25">
      <c r="A7" s="136"/>
      <c r="B7" s="33"/>
      <c r="C7" s="33"/>
      <c r="D7" s="33" t="s">
        <v>74</v>
      </c>
      <c r="E7" s="43">
        <f>E12+E21+E24+E36+E39+E42+E45+E54+E57+E66+E69+E72+E75+E84+E87+E98</f>
        <v>0</v>
      </c>
      <c r="F7" s="54">
        <f t="shared" si="0"/>
        <v>73000</v>
      </c>
      <c r="G7" s="54">
        <f t="shared" si="0"/>
        <v>762000</v>
      </c>
      <c r="H7" s="54">
        <f t="shared" si="0"/>
        <v>8000</v>
      </c>
      <c r="I7" s="54">
        <f>I12+I21+I24+I36+I42+I45+I54+I57+I66+I75+I84+I87</f>
        <v>1159159</v>
      </c>
      <c r="J7" s="137">
        <f>J12+J21+J24+J36+J39+J42+J45+J54+J57+J66+J69+J72+J75+J84+J87+J98</f>
        <v>1694211</v>
      </c>
      <c r="K7" s="123">
        <f>SUM(F7:J7)</f>
        <v>3696370</v>
      </c>
      <c r="L7" s="137">
        <f>L12+L21+L24+L36+L39+L42+L45+L54+L57+L66+L69+L72+L75+L84+L87+L98</f>
        <v>3830363</v>
      </c>
      <c r="M7" s="137">
        <f>M12+M21+M24+M36+M39+M42+M45+M54+M57+M66+M69+M72+M75+M84+M87+M98</f>
        <v>3999207</v>
      </c>
      <c r="N7" s="53" t="s">
        <v>66</v>
      </c>
      <c r="O7" s="20">
        <v>610100</v>
      </c>
      <c r="P7" s="20">
        <f>H5</f>
        <v>610100</v>
      </c>
      <c r="Q7" s="57">
        <f t="shared" si="1"/>
        <v>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s="17" customFormat="1" ht="19.5" customHeight="1" x14ac:dyDescent="0.25">
      <c r="A8" s="136"/>
      <c r="B8" s="33"/>
      <c r="C8" s="33"/>
      <c r="D8" s="33" t="s">
        <v>83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138">
        <f>J82</f>
        <v>180000</v>
      </c>
      <c r="K8" s="123">
        <f t="shared" ref="K8:K9" si="2">SUM(F8:J8)</f>
        <v>180000</v>
      </c>
      <c r="L8" s="138">
        <v>180000</v>
      </c>
      <c r="M8" s="138">
        <v>180000</v>
      </c>
      <c r="N8" s="53"/>
      <c r="O8" s="20"/>
      <c r="P8" s="20"/>
      <c r="Q8" s="5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s="17" customFormat="1" ht="19.5" customHeight="1" thickBot="1" x14ac:dyDescent="0.3">
      <c r="A9" s="139"/>
      <c r="B9" s="140"/>
      <c r="C9" s="140"/>
      <c r="D9" s="140" t="s">
        <v>75</v>
      </c>
      <c r="E9" s="141">
        <f>E88</f>
        <v>22</v>
      </c>
      <c r="F9" s="142">
        <f>F88</f>
        <v>101390</v>
      </c>
      <c r="G9" s="142">
        <f t="shared" ref="G9:M9" si="3">G88</f>
        <v>0</v>
      </c>
      <c r="H9" s="142">
        <f t="shared" si="3"/>
        <v>0</v>
      </c>
      <c r="I9" s="142">
        <f t="shared" si="3"/>
        <v>68500</v>
      </c>
      <c r="J9" s="143">
        <f t="shared" si="3"/>
        <v>0</v>
      </c>
      <c r="K9" s="123">
        <f t="shared" si="2"/>
        <v>169890</v>
      </c>
      <c r="L9" s="143">
        <f t="shared" si="3"/>
        <v>169890</v>
      </c>
      <c r="M9" s="143">
        <f t="shared" si="3"/>
        <v>169890</v>
      </c>
      <c r="N9" s="53" t="s">
        <v>78</v>
      </c>
      <c r="O9" s="20">
        <v>1227659</v>
      </c>
      <c r="P9" s="20">
        <f>I5</f>
        <v>1227659</v>
      </c>
      <c r="Q9" s="57">
        <f t="shared" si="1"/>
        <v>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8" customHeight="1" x14ac:dyDescent="0.25">
      <c r="A10" s="124">
        <v>1.1000000000000001</v>
      </c>
      <c r="B10" s="125">
        <v>160</v>
      </c>
      <c r="C10" s="126"/>
      <c r="D10" s="127" t="s">
        <v>19</v>
      </c>
      <c r="E10" s="128">
        <f>E11+E12</f>
        <v>25</v>
      </c>
      <c r="F10" s="129">
        <f>F13+F16</f>
        <v>204100</v>
      </c>
      <c r="G10" s="129">
        <f>G13+G16</f>
        <v>65500</v>
      </c>
      <c r="H10" s="129">
        <f>H13+H16</f>
        <v>0</v>
      </c>
      <c r="I10" s="129">
        <f>I13+I16</f>
        <v>0</v>
      </c>
      <c r="J10" s="130">
        <f>J13+J16</f>
        <v>0</v>
      </c>
      <c r="K10" s="120">
        <f>SUM(F10:J10)</f>
        <v>269600</v>
      </c>
      <c r="L10" s="120">
        <f>L11+L12</f>
        <v>279199</v>
      </c>
      <c r="M10" s="120">
        <f>M11+M12</f>
        <v>279200</v>
      </c>
      <c r="N10" s="53" t="s">
        <v>79</v>
      </c>
      <c r="O10" s="20">
        <v>6731897</v>
      </c>
      <c r="P10" s="20">
        <f>J5</f>
        <v>6731896</v>
      </c>
      <c r="Q10" s="57">
        <f t="shared" si="1"/>
        <v>1</v>
      </c>
    </row>
    <row r="11" spans="1:47" ht="18" customHeight="1" x14ac:dyDescent="0.25">
      <c r="A11" s="34"/>
      <c r="B11" s="35"/>
      <c r="C11" s="36"/>
      <c r="D11" s="95" t="s">
        <v>73</v>
      </c>
      <c r="E11" s="96">
        <f>E14+E17</f>
        <v>25</v>
      </c>
      <c r="F11" s="97">
        <f>F14+F17</f>
        <v>204100</v>
      </c>
      <c r="G11" s="97">
        <f t="shared" ref="G11:J12" si="4">G14+G17</f>
        <v>65500</v>
      </c>
      <c r="H11" s="97">
        <f t="shared" si="4"/>
        <v>0</v>
      </c>
      <c r="I11" s="97">
        <f t="shared" si="4"/>
        <v>0</v>
      </c>
      <c r="J11" s="98">
        <f t="shared" si="4"/>
        <v>0</v>
      </c>
      <c r="K11" s="99">
        <f t="shared" ref="K11:K69" si="5">SUM(F11:J11)</f>
        <v>269600</v>
      </c>
      <c r="L11" s="99">
        <f>L14+L17</f>
        <v>279199</v>
      </c>
      <c r="M11" s="99">
        <f>M14+M17</f>
        <v>279200</v>
      </c>
      <c r="N11" s="53" t="s">
        <v>72</v>
      </c>
      <c r="O11" s="20">
        <v>3676370</v>
      </c>
    </row>
    <row r="12" spans="1:47" ht="18" customHeight="1" x14ac:dyDescent="0.25">
      <c r="A12" s="34"/>
      <c r="B12" s="35"/>
      <c r="C12" s="36"/>
      <c r="D12" s="48" t="s">
        <v>74</v>
      </c>
      <c r="E12" s="36">
        <f>E15+E18</f>
        <v>0</v>
      </c>
      <c r="F12" s="37">
        <f>F15+F18</f>
        <v>0</v>
      </c>
      <c r="G12" s="37">
        <f t="shared" si="4"/>
        <v>0</v>
      </c>
      <c r="H12" s="37">
        <f t="shared" si="4"/>
        <v>0</v>
      </c>
      <c r="I12" s="37">
        <f t="shared" si="4"/>
        <v>0</v>
      </c>
      <c r="J12" s="86">
        <f t="shared" si="4"/>
        <v>0</v>
      </c>
      <c r="K12" s="70">
        <f t="shared" si="5"/>
        <v>0</v>
      </c>
      <c r="L12" s="70">
        <f>L15+L18</f>
        <v>0</v>
      </c>
      <c r="M12" s="70">
        <f>M15+M18</f>
        <v>0</v>
      </c>
      <c r="O12" s="20"/>
    </row>
    <row r="13" spans="1:47" s="1" customFormat="1" ht="18" customHeight="1" x14ac:dyDescent="0.25">
      <c r="A13" s="38" t="s">
        <v>20</v>
      </c>
      <c r="B13" s="39"/>
      <c r="C13" s="39">
        <v>16022</v>
      </c>
      <c r="D13" s="40" t="s">
        <v>19</v>
      </c>
      <c r="E13" s="39">
        <f>E14+E15</f>
        <v>22</v>
      </c>
      <c r="F13" s="41">
        <f>F14+F15</f>
        <v>160190</v>
      </c>
      <c r="G13" s="41">
        <f t="shared" ref="G13:J13" si="6">G14+G15</f>
        <v>47500</v>
      </c>
      <c r="H13" s="41">
        <f t="shared" si="6"/>
        <v>0</v>
      </c>
      <c r="I13" s="41">
        <f t="shared" si="6"/>
        <v>0</v>
      </c>
      <c r="J13" s="87">
        <f t="shared" si="6"/>
        <v>0</v>
      </c>
      <c r="K13" s="71">
        <f t="shared" si="5"/>
        <v>207690</v>
      </c>
      <c r="L13" s="71">
        <f>L14+L15</f>
        <v>216699</v>
      </c>
      <c r="M13" s="71">
        <f>M14+M15</f>
        <v>216700</v>
      </c>
      <c r="N13" s="20">
        <f>O11-K7</f>
        <v>-20000</v>
      </c>
      <c r="O13" s="20"/>
    </row>
    <row r="14" spans="1:47" ht="18" customHeight="1" x14ac:dyDescent="0.25">
      <c r="A14" s="27"/>
      <c r="B14" s="28"/>
      <c r="C14" s="29"/>
      <c r="D14" s="49" t="s">
        <v>73</v>
      </c>
      <c r="E14" s="29">
        <v>22</v>
      </c>
      <c r="F14" s="30">
        <v>160190</v>
      </c>
      <c r="G14" s="30">
        <v>47500</v>
      </c>
      <c r="H14" s="30"/>
      <c r="I14" s="30"/>
      <c r="J14" s="88"/>
      <c r="K14" s="72">
        <f>SUM(F14:J14)</f>
        <v>207690</v>
      </c>
      <c r="L14" s="72">
        <v>216699</v>
      </c>
      <c r="M14" s="72">
        <v>216700</v>
      </c>
    </row>
    <row r="15" spans="1:47" ht="18" customHeight="1" x14ac:dyDescent="0.25">
      <c r="A15" s="27"/>
      <c r="B15" s="28"/>
      <c r="C15" s="29"/>
      <c r="D15" s="49" t="s">
        <v>74</v>
      </c>
      <c r="E15" s="29"/>
      <c r="F15" s="30"/>
      <c r="G15" s="30">
        <v>0</v>
      </c>
      <c r="H15" s="30"/>
      <c r="I15" s="30">
        <v>0</v>
      </c>
      <c r="J15" s="88"/>
      <c r="K15" s="72">
        <f t="shared" si="5"/>
        <v>0</v>
      </c>
      <c r="L15" s="72">
        <v>0</v>
      </c>
      <c r="M15" s="72">
        <v>0</v>
      </c>
    </row>
    <row r="16" spans="1:47" s="1" customFormat="1" ht="18" customHeight="1" x14ac:dyDescent="0.25">
      <c r="A16" s="38" t="s">
        <v>21</v>
      </c>
      <c r="B16" s="39"/>
      <c r="C16" s="39">
        <v>16102</v>
      </c>
      <c r="D16" s="40" t="s">
        <v>22</v>
      </c>
      <c r="E16" s="39">
        <f>E17+E18</f>
        <v>3</v>
      </c>
      <c r="F16" s="41">
        <f>F17+F18</f>
        <v>43910</v>
      </c>
      <c r="G16" s="41">
        <f t="shared" ref="G16:J16" si="7">G17+G18</f>
        <v>18000</v>
      </c>
      <c r="H16" s="41">
        <f t="shared" si="7"/>
        <v>0</v>
      </c>
      <c r="I16" s="41">
        <f t="shared" si="7"/>
        <v>0</v>
      </c>
      <c r="J16" s="87">
        <f t="shared" si="7"/>
        <v>0</v>
      </c>
      <c r="K16" s="71">
        <f t="shared" si="5"/>
        <v>61910</v>
      </c>
      <c r="L16" s="71">
        <f>L17+L18</f>
        <v>62500</v>
      </c>
      <c r="M16" s="71">
        <f>M17+M18</f>
        <v>62500</v>
      </c>
      <c r="O16" s="60">
        <v>26636529</v>
      </c>
    </row>
    <row r="17" spans="1:47" s="1" customFormat="1" ht="18" customHeight="1" x14ac:dyDescent="0.25">
      <c r="A17" s="5"/>
      <c r="B17" s="12"/>
      <c r="C17" s="12"/>
      <c r="D17" s="49" t="s">
        <v>73</v>
      </c>
      <c r="E17" s="12">
        <v>3</v>
      </c>
      <c r="F17" s="13">
        <v>43910</v>
      </c>
      <c r="G17" s="13">
        <v>18000</v>
      </c>
      <c r="H17" s="13"/>
      <c r="I17" s="13"/>
      <c r="J17" s="89"/>
      <c r="K17" s="72">
        <f t="shared" si="5"/>
        <v>61910</v>
      </c>
      <c r="L17" s="72">
        <v>62500</v>
      </c>
      <c r="M17" s="72">
        <v>62500</v>
      </c>
      <c r="O17" s="20"/>
      <c r="P17" s="20"/>
    </row>
    <row r="18" spans="1:47" s="1" customFormat="1" ht="18" customHeight="1" x14ac:dyDescent="0.25">
      <c r="A18" s="5"/>
      <c r="B18" s="12"/>
      <c r="C18" s="12"/>
      <c r="D18" s="100" t="s">
        <v>74</v>
      </c>
      <c r="E18" s="101"/>
      <c r="F18" s="102"/>
      <c r="G18" s="102"/>
      <c r="H18" s="102"/>
      <c r="I18" s="102"/>
      <c r="J18" s="103"/>
      <c r="K18" s="104">
        <f t="shared" si="5"/>
        <v>0</v>
      </c>
      <c r="L18" s="104">
        <v>0</v>
      </c>
      <c r="M18" s="104">
        <v>0</v>
      </c>
      <c r="O18" s="60">
        <f>O32/O16*100</f>
        <v>93.909945999345496</v>
      </c>
    </row>
    <row r="19" spans="1:47" s="2" customFormat="1" ht="18" customHeight="1" x14ac:dyDescent="0.25">
      <c r="A19" s="4">
        <v>1.2</v>
      </c>
      <c r="B19" s="10">
        <v>169</v>
      </c>
      <c r="C19" s="93">
        <v>16922</v>
      </c>
      <c r="D19" s="44" t="s">
        <v>23</v>
      </c>
      <c r="E19" s="10">
        <f>E20+E21</f>
        <v>0</v>
      </c>
      <c r="F19" s="11">
        <f>F20+F21</f>
        <v>152000</v>
      </c>
      <c r="G19" s="11">
        <f t="shared" ref="G19:J19" si="8">G20+G21</f>
        <v>12000</v>
      </c>
      <c r="H19" s="11">
        <f t="shared" si="8"/>
        <v>0</v>
      </c>
      <c r="I19" s="11">
        <f t="shared" si="8"/>
        <v>0</v>
      </c>
      <c r="J19" s="90">
        <f t="shared" si="8"/>
        <v>0</v>
      </c>
      <c r="K19" s="120">
        <f>SUM(F19:J19)</f>
        <v>164000</v>
      </c>
      <c r="L19" s="120">
        <f>L20+L21</f>
        <v>166000</v>
      </c>
      <c r="M19" s="120">
        <f>M20+M21</f>
        <v>166000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1" customFormat="1" ht="18" customHeight="1" x14ac:dyDescent="0.25">
      <c r="A20" s="34"/>
      <c r="B20" s="36"/>
      <c r="C20" s="36"/>
      <c r="D20" s="95" t="s">
        <v>73</v>
      </c>
      <c r="E20" s="96">
        <v>0</v>
      </c>
      <c r="F20" s="97">
        <v>152000</v>
      </c>
      <c r="G20" s="97">
        <v>12000</v>
      </c>
      <c r="H20" s="97">
        <v>0</v>
      </c>
      <c r="I20" s="97">
        <v>0</v>
      </c>
      <c r="J20" s="98">
        <v>0</v>
      </c>
      <c r="K20" s="99">
        <f>SUM(F20:J20)</f>
        <v>164000</v>
      </c>
      <c r="L20" s="99">
        <v>166000</v>
      </c>
      <c r="M20" s="99">
        <v>166000</v>
      </c>
    </row>
    <row r="21" spans="1:47" s="1" customFormat="1" ht="18" customHeight="1" x14ac:dyDescent="0.25">
      <c r="A21" s="34"/>
      <c r="B21" s="36"/>
      <c r="C21" s="36"/>
      <c r="D21" s="105" t="s">
        <v>74</v>
      </c>
      <c r="E21" s="106"/>
      <c r="F21" s="107"/>
      <c r="G21" s="107"/>
      <c r="H21" s="107"/>
      <c r="I21" s="107">
        <v>0</v>
      </c>
      <c r="J21" s="108"/>
      <c r="K21" s="94">
        <f t="shared" si="5"/>
        <v>0</v>
      </c>
      <c r="L21" s="94">
        <v>0</v>
      </c>
      <c r="M21" s="94">
        <v>0</v>
      </c>
    </row>
    <row r="22" spans="1:47" s="2" customFormat="1" ht="18" customHeight="1" x14ac:dyDescent="0.25">
      <c r="A22" s="4">
        <v>1.3</v>
      </c>
      <c r="B22" s="9">
        <v>163</v>
      </c>
      <c r="C22" s="93"/>
      <c r="D22" s="44" t="s">
        <v>24</v>
      </c>
      <c r="E22" s="10">
        <f>E23+E24</f>
        <v>71</v>
      </c>
      <c r="F22" s="11">
        <f>F23+F24</f>
        <v>379950</v>
      </c>
      <c r="G22" s="11">
        <f t="shared" ref="G22:J22" si="9">G23+G24</f>
        <v>436500</v>
      </c>
      <c r="H22" s="11">
        <f t="shared" si="9"/>
        <v>105000</v>
      </c>
      <c r="I22" s="11">
        <f t="shared" si="9"/>
        <v>394159</v>
      </c>
      <c r="J22" s="90">
        <f t="shared" si="9"/>
        <v>304000</v>
      </c>
      <c r="K22" s="120">
        <f>SUM(F22:J22)</f>
        <v>1619609</v>
      </c>
      <c r="L22" s="120">
        <f t="shared" ref="L22:M24" si="10">L25+L28+L31</f>
        <v>1546528</v>
      </c>
      <c r="M22" s="120">
        <f t="shared" si="10"/>
        <v>1514426</v>
      </c>
      <c r="N22" t="s">
        <v>68</v>
      </c>
      <c r="O22" s="25">
        <v>9725479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2" customFormat="1" ht="18" customHeight="1" x14ac:dyDescent="0.25">
      <c r="A23" s="34"/>
      <c r="B23" s="35"/>
      <c r="C23" s="36"/>
      <c r="D23" s="95" t="s">
        <v>73</v>
      </c>
      <c r="E23" s="96">
        <f>E26+E29+E32</f>
        <v>71</v>
      </c>
      <c r="F23" s="97">
        <f>F26+F29+F32</f>
        <v>379950</v>
      </c>
      <c r="G23" s="97">
        <f t="shared" ref="G23:J23" si="11">G26+G29+G32</f>
        <v>286500</v>
      </c>
      <c r="H23" s="97">
        <f t="shared" si="11"/>
        <v>105000</v>
      </c>
      <c r="I23" s="97">
        <f t="shared" si="11"/>
        <v>0</v>
      </c>
      <c r="J23" s="98">
        <f t="shared" si="11"/>
        <v>304000</v>
      </c>
      <c r="K23" s="99">
        <f t="shared" si="5"/>
        <v>1075450</v>
      </c>
      <c r="L23" s="99">
        <f t="shared" si="10"/>
        <v>1082369</v>
      </c>
      <c r="M23" s="99">
        <f t="shared" si="10"/>
        <v>1050267</v>
      </c>
      <c r="N23" t="s">
        <v>69</v>
      </c>
      <c r="O23" s="26">
        <v>8522968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2" customFormat="1" ht="18" customHeight="1" x14ac:dyDescent="0.25">
      <c r="A24" s="34"/>
      <c r="B24" s="35"/>
      <c r="C24" s="36"/>
      <c r="D24" s="48" t="s">
        <v>74</v>
      </c>
      <c r="E24" s="36">
        <f>E27+E30+E33</f>
        <v>0</v>
      </c>
      <c r="F24" s="37">
        <f>F27+F30+F33</f>
        <v>0</v>
      </c>
      <c r="G24" s="37">
        <f t="shared" ref="G24:J24" si="12">G27+G30+G33</f>
        <v>150000</v>
      </c>
      <c r="H24" s="37">
        <f t="shared" si="12"/>
        <v>0</v>
      </c>
      <c r="I24" s="37">
        <f>I27+I30+I33</f>
        <v>394159</v>
      </c>
      <c r="J24" s="86">
        <f t="shared" si="12"/>
        <v>0</v>
      </c>
      <c r="K24" s="70">
        <f t="shared" si="5"/>
        <v>544159</v>
      </c>
      <c r="L24" s="70">
        <f t="shared" si="10"/>
        <v>464159</v>
      </c>
      <c r="M24" s="70">
        <f t="shared" si="10"/>
        <v>464159</v>
      </c>
      <c r="N24" t="s">
        <v>70</v>
      </c>
      <c r="O24" s="26">
        <v>2739643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1" customFormat="1" ht="18" customHeight="1" x14ac:dyDescent="0.25">
      <c r="A25" s="38" t="s">
        <v>25</v>
      </c>
      <c r="B25" s="39"/>
      <c r="C25" s="39">
        <v>16322</v>
      </c>
      <c r="D25" s="40" t="s">
        <v>26</v>
      </c>
      <c r="E25" s="39">
        <f>E26+E27</f>
        <v>62</v>
      </c>
      <c r="F25" s="41">
        <f>F26+F27</f>
        <v>325450</v>
      </c>
      <c r="G25" s="41">
        <f t="shared" ref="G25:J25" si="13">G26+G27</f>
        <v>330000</v>
      </c>
      <c r="H25" s="41">
        <f t="shared" si="13"/>
        <v>105000</v>
      </c>
      <c r="I25" s="41">
        <f t="shared" si="13"/>
        <v>150000</v>
      </c>
      <c r="J25" s="87">
        <f t="shared" si="13"/>
        <v>204000</v>
      </c>
      <c r="K25" s="71">
        <f t="shared" si="5"/>
        <v>1114450</v>
      </c>
      <c r="L25" s="71">
        <f>L26+L27</f>
        <v>1219869</v>
      </c>
      <c r="M25" s="71">
        <f>M26+M27</f>
        <v>1187767</v>
      </c>
      <c r="N25" t="s">
        <v>71</v>
      </c>
      <c r="O25" s="26">
        <v>169890</v>
      </c>
    </row>
    <row r="26" spans="1:47" s="2" customFormat="1" ht="18" customHeight="1" x14ac:dyDescent="0.25">
      <c r="A26" s="27"/>
      <c r="B26" s="28"/>
      <c r="C26" s="29"/>
      <c r="D26" s="49" t="s">
        <v>73</v>
      </c>
      <c r="E26" s="29">
        <v>62</v>
      </c>
      <c r="F26" s="31">
        <v>325450</v>
      </c>
      <c r="G26" s="31">
        <f>330000-G27</f>
        <v>180000</v>
      </c>
      <c r="H26" s="31">
        <v>105000</v>
      </c>
      <c r="I26" s="31">
        <v>0</v>
      </c>
      <c r="J26" s="91">
        <v>204000</v>
      </c>
      <c r="K26" s="72">
        <f t="shared" si="5"/>
        <v>814450</v>
      </c>
      <c r="L26" s="72">
        <v>919869</v>
      </c>
      <c r="M26" s="72">
        <v>887767</v>
      </c>
      <c r="N26" s="56" t="s">
        <v>82</v>
      </c>
      <c r="O26" s="55">
        <v>180000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2" customFormat="1" ht="18" customHeight="1" x14ac:dyDescent="0.25">
      <c r="A27" s="27"/>
      <c r="B27" s="28"/>
      <c r="C27" s="29"/>
      <c r="D27" s="49" t="s">
        <v>74</v>
      </c>
      <c r="E27" s="29"/>
      <c r="F27" s="31"/>
      <c r="G27" s="31">
        <v>150000</v>
      </c>
      <c r="H27" s="31"/>
      <c r="I27" s="31">
        <v>150000</v>
      </c>
      <c r="J27" s="91"/>
      <c r="K27" s="72">
        <f t="shared" si="5"/>
        <v>300000</v>
      </c>
      <c r="L27" s="72">
        <v>300000</v>
      </c>
      <c r="M27" s="72">
        <v>300000</v>
      </c>
      <c r="N27" t="s">
        <v>72</v>
      </c>
      <c r="O27" s="20">
        <v>3676370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1" customFormat="1" ht="18" customHeight="1" x14ac:dyDescent="0.25">
      <c r="A28" s="38" t="s">
        <v>27</v>
      </c>
      <c r="B28" s="39"/>
      <c r="C28" s="39">
        <v>16522</v>
      </c>
      <c r="D28" s="40" t="s">
        <v>28</v>
      </c>
      <c r="E28" s="39">
        <f>E29+E30</f>
        <v>2</v>
      </c>
      <c r="F28" s="41">
        <f>F29+F30</f>
        <v>12790</v>
      </c>
      <c r="G28" s="41">
        <f t="shared" ref="G28:J28" si="14">G29+G30</f>
        <v>6500</v>
      </c>
      <c r="H28" s="41">
        <f t="shared" si="14"/>
        <v>0</v>
      </c>
      <c r="I28" s="41">
        <f t="shared" si="14"/>
        <v>20000</v>
      </c>
      <c r="J28" s="87">
        <f t="shared" si="14"/>
        <v>0</v>
      </c>
      <c r="K28" s="71">
        <f t="shared" si="5"/>
        <v>39290</v>
      </c>
      <c r="L28" s="71">
        <f>L29+L30</f>
        <v>39500</v>
      </c>
      <c r="M28" s="71">
        <f>M29+M30</f>
        <v>39500</v>
      </c>
    </row>
    <row r="29" spans="1:47" s="1" customFormat="1" ht="18" customHeight="1" x14ac:dyDescent="0.25">
      <c r="A29" s="5"/>
      <c r="B29" s="12"/>
      <c r="C29" s="12"/>
      <c r="D29" s="49" t="s">
        <v>73</v>
      </c>
      <c r="E29" s="12">
        <v>2</v>
      </c>
      <c r="F29" s="13">
        <v>12790</v>
      </c>
      <c r="G29" s="13">
        <v>6500</v>
      </c>
      <c r="H29" s="13">
        <v>0</v>
      </c>
      <c r="I29" s="13">
        <v>0</v>
      </c>
      <c r="J29" s="89">
        <v>0</v>
      </c>
      <c r="K29" s="72">
        <f t="shared" si="5"/>
        <v>19290</v>
      </c>
      <c r="L29" s="72">
        <v>19500</v>
      </c>
      <c r="M29" s="72">
        <v>19500</v>
      </c>
      <c r="N29"/>
      <c r="O29"/>
    </row>
    <row r="30" spans="1:47" s="1" customFormat="1" ht="18" customHeight="1" x14ac:dyDescent="0.25">
      <c r="A30" s="5"/>
      <c r="B30" s="12"/>
      <c r="C30" s="12"/>
      <c r="D30" s="49" t="s">
        <v>74</v>
      </c>
      <c r="E30" s="12"/>
      <c r="F30" s="13"/>
      <c r="G30" s="13"/>
      <c r="H30" s="13"/>
      <c r="I30" s="13">
        <v>20000</v>
      </c>
      <c r="J30" s="89"/>
      <c r="K30" s="72">
        <f t="shared" si="5"/>
        <v>20000</v>
      </c>
      <c r="L30" s="72">
        <v>20000</v>
      </c>
      <c r="M30" s="72">
        <v>20000</v>
      </c>
    </row>
    <row r="31" spans="1:47" s="1" customFormat="1" ht="18" customHeight="1" x14ac:dyDescent="0.25">
      <c r="A31" s="38" t="s">
        <v>29</v>
      </c>
      <c r="B31" s="39"/>
      <c r="C31" s="39">
        <v>16562</v>
      </c>
      <c r="D31" s="40" t="s">
        <v>30</v>
      </c>
      <c r="E31" s="39">
        <f>E32+E33</f>
        <v>7</v>
      </c>
      <c r="F31" s="41">
        <f>F32+F33</f>
        <v>41710</v>
      </c>
      <c r="G31" s="41">
        <f t="shared" ref="G31:J31" si="15">G32+G33</f>
        <v>100000</v>
      </c>
      <c r="H31" s="41">
        <f t="shared" si="15"/>
        <v>0</v>
      </c>
      <c r="I31" s="41">
        <f t="shared" si="15"/>
        <v>224159</v>
      </c>
      <c r="J31" s="87">
        <f t="shared" si="15"/>
        <v>100000</v>
      </c>
      <c r="K31" s="71">
        <f t="shared" si="5"/>
        <v>465869</v>
      </c>
      <c r="L31" s="71">
        <f>L32+L33</f>
        <v>287159</v>
      </c>
      <c r="M31" s="71">
        <f>M32+M33</f>
        <v>287159</v>
      </c>
      <c r="N31" s="20">
        <f>O32*7%</f>
        <v>1751004.5000000002</v>
      </c>
    </row>
    <row r="32" spans="1:47" s="1" customFormat="1" ht="18" customHeight="1" x14ac:dyDescent="0.25">
      <c r="A32" s="5"/>
      <c r="B32" s="12"/>
      <c r="C32" s="12"/>
      <c r="D32" s="49" t="s">
        <v>73</v>
      </c>
      <c r="E32" s="12">
        <v>7</v>
      </c>
      <c r="F32" s="13">
        <v>41710</v>
      </c>
      <c r="G32" s="13">
        <v>100000</v>
      </c>
      <c r="H32" s="13">
        <v>0</v>
      </c>
      <c r="I32" s="13">
        <v>0</v>
      </c>
      <c r="J32" s="89">
        <v>100000</v>
      </c>
      <c r="K32" s="72">
        <f t="shared" si="5"/>
        <v>241710</v>
      </c>
      <c r="L32" s="72">
        <v>143000</v>
      </c>
      <c r="M32" s="72">
        <v>143000</v>
      </c>
      <c r="N32" s="24">
        <f>O32+N31</f>
        <v>26765354.5</v>
      </c>
      <c r="O32" s="24">
        <f>SUM(O22:O29)</f>
        <v>25014350</v>
      </c>
    </row>
    <row r="33" spans="1:47" s="1" customFormat="1" ht="18" customHeight="1" x14ac:dyDescent="0.25">
      <c r="A33" s="5"/>
      <c r="B33" s="12"/>
      <c r="C33" s="12"/>
      <c r="D33" s="100" t="s">
        <v>74</v>
      </c>
      <c r="E33" s="109"/>
      <c r="F33" s="110"/>
      <c r="G33" s="110"/>
      <c r="H33" s="110"/>
      <c r="I33" s="102">
        <f>144159+80000</f>
        <v>224159</v>
      </c>
      <c r="J33" s="111"/>
      <c r="K33" s="104">
        <f t="shared" si="5"/>
        <v>224159</v>
      </c>
      <c r="L33" s="104">
        <v>144159</v>
      </c>
      <c r="M33" s="104">
        <v>144159</v>
      </c>
    </row>
    <row r="34" spans="1:47" s="2" customFormat="1" ht="18" customHeight="1" x14ac:dyDescent="0.25">
      <c r="A34" s="4">
        <v>1.4</v>
      </c>
      <c r="B34" s="9">
        <v>166</v>
      </c>
      <c r="C34" s="93">
        <v>16643</v>
      </c>
      <c r="D34" s="44" t="s">
        <v>31</v>
      </c>
      <c r="E34" s="10">
        <f>E35+E36</f>
        <v>27</v>
      </c>
      <c r="F34" s="11">
        <f>F35+F36</f>
        <v>148601</v>
      </c>
      <c r="G34" s="11">
        <f t="shared" ref="G34:J34" si="16">G35+G36</f>
        <v>80000</v>
      </c>
      <c r="H34" s="11">
        <f t="shared" si="16"/>
        <v>0</v>
      </c>
      <c r="I34" s="11">
        <f t="shared" si="16"/>
        <v>0</v>
      </c>
      <c r="J34" s="90">
        <f t="shared" si="16"/>
        <v>0</v>
      </c>
      <c r="K34" s="120">
        <f t="shared" si="5"/>
        <v>228601</v>
      </c>
      <c r="L34" s="120">
        <f>L35+L36</f>
        <v>200115</v>
      </c>
      <c r="M34" s="120">
        <v>200115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1" customFormat="1" ht="18" customHeight="1" x14ac:dyDescent="0.25">
      <c r="A35" s="34"/>
      <c r="B35" s="36"/>
      <c r="C35" s="36"/>
      <c r="D35" s="95" t="s">
        <v>73</v>
      </c>
      <c r="E35" s="96">
        <v>27</v>
      </c>
      <c r="F35" s="97">
        <v>148601</v>
      </c>
      <c r="G35" s="97">
        <v>80000</v>
      </c>
      <c r="H35" s="97">
        <v>0</v>
      </c>
      <c r="I35" s="97">
        <v>0</v>
      </c>
      <c r="J35" s="98">
        <v>0</v>
      </c>
      <c r="K35" s="99">
        <f t="shared" si="5"/>
        <v>228601</v>
      </c>
      <c r="L35" s="99">
        <v>200115</v>
      </c>
      <c r="M35" s="99">
        <v>200115</v>
      </c>
    </row>
    <row r="36" spans="1:47" s="1" customFormat="1" ht="18" customHeight="1" x14ac:dyDescent="0.25">
      <c r="A36" s="34"/>
      <c r="B36" s="36"/>
      <c r="C36" s="36"/>
      <c r="D36" s="48" t="s">
        <v>74</v>
      </c>
      <c r="E36" s="36"/>
      <c r="F36" s="37"/>
      <c r="G36" s="37"/>
      <c r="H36" s="37"/>
      <c r="I36" s="37"/>
      <c r="J36" s="86"/>
      <c r="K36" s="70">
        <f t="shared" si="5"/>
        <v>0</v>
      </c>
      <c r="L36" s="70">
        <v>0</v>
      </c>
      <c r="M36" s="70">
        <v>0</v>
      </c>
    </row>
    <row r="37" spans="1:47" s="2" customFormat="1" ht="18" hidden="1" customHeight="1" x14ac:dyDescent="0.3">
      <c r="A37" s="4">
        <v>1.5</v>
      </c>
      <c r="B37" s="9">
        <v>167</v>
      </c>
      <c r="C37" s="10">
        <v>16810</v>
      </c>
      <c r="D37" s="44" t="s">
        <v>32</v>
      </c>
      <c r="E37" s="10">
        <f>E38+E39</f>
        <v>0</v>
      </c>
      <c r="F37" s="11">
        <f>F38+F39</f>
        <v>0</v>
      </c>
      <c r="G37" s="11">
        <f t="shared" ref="G37:H37" si="17">G38+G39</f>
        <v>0</v>
      </c>
      <c r="H37" s="11">
        <f t="shared" si="17"/>
        <v>0</v>
      </c>
      <c r="I37" s="11">
        <f>I38+I39</f>
        <v>0</v>
      </c>
      <c r="J37" s="90">
        <f t="shared" ref="J37" si="18">J38+J39</f>
        <v>0</v>
      </c>
      <c r="K37" s="73">
        <f t="shared" si="5"/>
        <v>0</v>
      </c>
      <c r="L37" s="73">
        <v>0</v>
      </c>
      <c r="M37" s="73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1" customFormat="1" ht="18" hidden="1" customHeight="1" x14ac:dyDescent="0.3">
      <c r="A38" s="34"/>
      <c r="B38" s="36"/>
      <c r="C38" s="36"/>
      <c r="D38" s="48" t="s">
        <v>73</v>
      </c>
      <c r="E38" s="36">
        <v>0</v>
      </c>
      <c r="F38" s="37">
        <v>0</v>
      </c>
      <c r="G38" s="37">
        <v>0</v>
      </c>
      <c r="H38" s="37"/>
      <c r="I38" s="37"/>
      <c r="J38" s="86"/>
      <c r="K38" s="70">
        <f t="shared" si="5"/>
        <v>0</v>
      </c>
      <c r="L38" s="70">
        <v>0</v>
      </c>
      <c r="M38" s="70">
        <v>0</v>
      </c>
    </row>
    <row r="39" spans="1:47" s="1" customFormat="1" ht="18" hidden="1" customHeight="1" x14ac:dyDescent="0.3">
      <c r="A39" s="34"/>
      <c r="B39" s="36"/>
      <c r="C39" s="36"/>
      <c r="D39" s="105" t="s">
        <v>74</v>
      </c>
      <c r="E39" s="106"/>
      <c r="F39" s="107"/>
      <c r="G39" s="107"/>
      <c r="H39" s="107"/>
      <c r="I39" s="107"/>
      <c r="J39" s="108"/>
      <c r="K39" s="94">
        <f t="shared" si="5"/>
        <v>0</v>
      </c>
      <c r="L39" s="94">
        <v>0</v>
      </c>
      <c r="M39" s="94">
        <v>0</v>
      </c>
    </row>
    <row r="40" spans="1:47" s="2" customFormat="1" ht="18" customHeight="1" x14ac:dyDescent="0.25">
      <c r="A40" s="4">
        <v>1.6</v>
      </c>
      <c r="B40" s="9">
        <v>175</v>
      </c>
      <c r="C40" s="93">
        <v>17522</v>
      </c>
      <c r="D40" s="44" t="s">
        <v>33</v>
      </c>
      <c r="E40" s="10">
        <f>E41+E42</f>
        <v>33</v>
      </c>
      <c r="F40" s="11">
        <f>F41+F42</f>
        <v>175015</v>
      </c>
      <c r="G40" s="11">
        <f t="shared" ref="G40:I40" si="19">G41+G42</f>
        <v>72391</v>
      </c>
      <c r="H40" s="11">
        <f t="shared" si="19"/>
        <v>0</v>
      </c>
      <c r="I40" s="11">
        <f t="shared" si="19"/>
        <v>0</v>
      </c>
      <c r="J40" s="90">
        <f>J41+J42</f>
        <v>100000</v>
      </c>
      <c r="K40" s="120">
        <f t="shared" si="5"/>
        <v>347406</v>
      </c>
      <c r="L40" s="120">
        <f>L41+L42</f>
        <v>255391</v>
      </c>
      <c r="M40" s="120">
        <f>M41+M42</f>
        <v>1005391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1" customFormat="1" ht="18" customHeight="1" x14ac:dyDescent="0.25">
      <c r="A41" s="34"/>
      <c r="B41" s="36"/>
      <c r="C41" s="36"/>
      <c r="D41" s="95" t="s">
        <v>73</v>
      </c>
      <c r="E41" s="96">
        <v>33</v>
      </c>
      <c r="F41" s="97">
        <v>175015</v>
      </c>
      <c r="G41" s="97">
        <f>72391-G42</f>
        <v>52391</v>
      </c>
      <c r="H41" s="97">
        <v>0</v>
      </c>
      <c r="I41" s="97">
        <v>0</v>
      </c>
      <c r="J41" s="98">
        <f>160000-J42-60000</f>
        <v>0</v>
      </c>
      <c r="K41" s="99">
        <f>SUM(F41:J41)</f>
        <v>227406</v>
      </c>
      <c r="L41" s="99">
        <v>235391</v>
      </c>
      <c r="M41" s="99">
        <v>985391</v>
      </c>
      <c r="N41" s="68">
        <f>N42+N43</f>
        <v>0</v>
      </c>
    </row>
    <row r="42" spans="1:47" s="1" customFormat="1" ht="18" customHeight="1" x14ac:dyDescent="0.25">
      <c r="A42" s="34"/>
      <c r="B42" s="36"/>
      <c r="C42" s="36"/>
      <c r="D42" s="105" t="s">
        <v>74</v>
      </c>
      <c r="E42" s="106"/>
      <c r="F42" s="107"/>
      <c r="G42" s="107">
        <v>20000</v>
      </c>
      <c r="H42" s="107"/>
      <c r="I42" s="107"/>
      <c r="J42" s="108">
        <v>100000</v>
      </c>
      <c r="K42" s="94">
        <f t="shared" si="5"/>
        <v>120000</v>
      </c>
      <c r="L42" s="94">
        <v>20000</v>
      </c>
      <c r="M42" s="94">
        <v>20000</v>
      </c>
    </row>
    <row r="43" spans="1:47" s="2" customFormat="1" ht="18" customHeight="1" x14ac:dyDescent="0.25">
      <c r="A43" s="4">
        <v>1.7</v>
      </c>
      <c r="B43" s="9">
        <v>180</v>
      </c>
      <c r="C43" s="93"/>
      <c r="D43" s="44" t="s">
        <v>34</v>
      </c>
      <c r="E43" s="10">
        <f>E44+E45</f>
        <v>47</v>
      </c>
      <c r="F43" s="11">
        <f>F44+F45</f>
        <v>270590</v>
      </c>
      <c r="G43" s="11">
        <f t="shared" ref="G43:J43" si="20">G44+G45</f>
        <v>320000</v>
      </c>
      <c r="H43" s="11">
        <f t="shared" si="20"/>
        <v>7000</v>
      </c>
      <c r="I43" s="11">
        <f t="shared" si="20"/>
        <v>0</v>
      </c>
      <c r="J43" s="90">
        <f t="shared" si="20"/>
        <v>180000</v>
      </c>
      <c r="K43" s="120">
        <f>SUM(F43:J43)</f>
        <v>777590</v>
      </c>
      <c r="L43" s="120">
        <f>L44+L45</f>
        <v>697590</v>
      </c>
      <c r="M43" s="120">
        <f>M44+M45</f>
        <v>697590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1" customFormat="1" ht="18" customHeight="1" x14ac:dyDescent="0.25">
      <c r="A44" s="34"/>
      <c r="B44" s="36"/>
      <c r="C44" s="36"/>
      <c r="D44" s="95" t="s">
        <v>73</v>
      </c>
      <c r="E44" s="96">
        <f t="shared" ref="E44:G45" si="21">E47+E50</f>
        <v>47</v>
      </c>
      <c r="F44" s="97">
        <f t="shared" si="21"/>
        <v>270590</v>
      </c>
      <c r="G44" s="97">
        <f t="shared" si="21"/>
        <v>170000</v>
      </c>
      <c r="H44" s="97">
        <f t="shared" ref="H44:J45" si="22">H47+H50</f>
        <v>7000</v>
      </c>
      <c r="I44" s="97">
        <f t="shared" si="22"/>
        <v>0</v>
      </c>
      <c r="J44" s="98">
        <f>J47+J50</f>
        <v>180000</v>
      </c>
      <c r="K44" s="99">
        <f t="shared" si="5"/>
        <v>627590</v>
      </c>
      <c r="L44" s="99">
        <f>L47+L50</f>
        <v>547590</v>
      </c>
      <c r="M44" s="99">
        <f>M47+M50</f>
        <v>547590</v>
      </c>
    </row>
    <row r="45" spans="1:47" s="1" customFormat="1" ht="18" customHeight="1" x14ac:dyDescent="0.25">
      <c r="A45" s="34"/>
      <c r="B45" s="36"/>
      <c r="C45" s="36"/>
      <c r="D45" s="48" t="s">
        <v>74</v>
      </c>
      <c r="E45" s="36">
        <f t="shared" si="21"/>
        <v>0</v>
      </c>
      <c r="F45" s="97">
        <f t="shared" si="21"/>
        <v>0</v>
      </c>
      <c r="G45" s="97">
        <f t="shared" si="21"/>
        <v>150000</v>
      </c>
      <c r="H45" s="97">
        <f t="shared" si="22"/>
        <v>0</v>
      </c>
      <c r="I45" s="37">
        <f t="shared" si="22"/>
        <v>0</v>
      </c>
      <c r="J45" s="86">
        <f t="shared" si="22"/>
        <v>0</v>
      </c>
      <c r="K45" s="70">
        <f t="shared" si="5"/>
        <v>150000</v>
      </c>
      <c r="L45" s="70">
        <f>L48+L51</f>
        <v>150000</v>
      </c>
      <c r="M45" s="70">
        <f>M48+M51</f>
        <v>150000</v>
      </c>
    </row>
    <row r="46" spans="1:47" s="1" customFormat="1" ht="18" customHeight="1" x14ac:dyDescent="0.25">
      <c r="A46" s="38" t="s">
        <v>35</v>
      </c>
      <c r="B46" s="39"/>
      <c r="C46" s="39">
        <v>18310</v>
      </c>
      <c r="D46" s="40" t="s">
        <v>36</v>
      </c>
      <c r="E46" s="39">
        <f t="shared" ref="E46:J46" si="23">E47+E48</f>
        <v>42</v>
      </c>
      <c r="F46" s="41">
        <f t="shared" si="23"/>
        <v>239450</v>
      </c>
      <c r="G46" s="41">
        <f t="shared" si="23"/>
        <v>70000</v>
      </c>
      <c r="H46" s="41">
        <f t="shared" si="23"/>
        <v>7000</v>
      </c>
      <c r="I46" s="41">
        <f t="shared" si="23"/>
        <v>0</v>
      </c>
      <c r="J46" s="87">
        <f t="shared" si="23"/>
        <v>180000</v>
      </c>
      <c r="K46" s="71">
        <f>SUM(F46:J46)</f>
        <v>496450</v>
      </c>
      <c r="L46" s="71">
        <f>L47+L48</f>
        <v>416450</v>
      </c>
      <c r="M46" s="71">
        <f>M47+M48</f>
        <v>416450</v>
      </c>
    </row>
    <row r="47" spans="1:47" s="1" customFormat="1" ht="18" customHeight="1" x14ac:dyDescent="0.25">
      <c r="A47" s="5"/>
      <c r="B47" s="12"/>
      <c r="C47" s="12"/>
      <c r="D47" s="49" t="s">
        <v>73</v>
      </c>
      <c r="E47" s="12">
        <v>42</v>
      </c>
      <c r="F47" s="13">
        <v>239450</v>
      </c>
      <c r="G47" s="13">
        <v>70000</v>
      </c>
      <c r="H47" s="13">
        <v>7000</v>
      </c>
      <c r="I47" s="13">
        <v>0</v>
      </c>
      <c r="J47" s="89">
        <f>200000-20000</f>
        <v>180000</v>
      </c>
      <c r="K47" s="72">
        <f t="shared" si="5"/>
        <v>496450</v>
      </c>
      <c r="L47" s="72">
        <v>416450</v>
      </c>
      <c r="M47" s="72">
        <v>416450</v>
      </c>
    </row>
    <row r="48" spans="1:47" s="1" customFormat="1" ht="18" customHeight="1" x14ac:dyDescent="0.25">
      <c r="A48" s="5"/>
      <c r="B48" s="12"/>
      <c r="C48" s="12"/>
      <c r="D48" s="49" t="s">
        <v>74</v>
      </c>
      <c r="E48" s="12"/>
      <c r="F48" s="13"/>
      <c r="G48" s="13"/>
      <c r="H48" s="13"/>
      <c r="I48" s="13"/>
      <c r="J48" s="89"/>
      <c r="K48" s="72">
        <f t="shared" si="5"/>
        <v>0</v>
      </c>
      <c r="L48" s="72">
        <v>0</v>
      </c>
      <c r="M48" s="72">
        <v>0</v>
      </c>
    </row>
    <row r="49" spans="1:47" s="1" customFormat="1" ht="18" customHeight="1" x14ac:dyDescent="0.25">
      <c r="A49" s="38" t="s">
        <v>37</v>
      </c>
      <c r="B49" s="39"/>
      <c r="C49" s="39">
        <v>18466</v>
      </c>
      <c r="D49" s="40" t="s">
        <v>38</v>
      </c>
      <c r="E49" s="39">
        <f>E50+E51</f>
        <v>5</v>
      </c>
      <c r="F49" s="41">
        <f>F50+F51</f>
        <v>31140</v>
      </c>
      <c r="G49" s="41">
        <f t="shared" ref="G49:J49" si="24">G50+G51</f>
        <v>250000</v>
      </c>
      <c r="H49" s="41">
        <f t="shared" si="24"/>
        <v>0</v>
      </c>
      <c r="I49" s="41">
        <f t="shared" si="24"/>
        <v>0</v>
      </c>
      <c r="J49" s="87">
        <f t="shared" si="24"/>
        <v>0</v>
      </c>
      <c r="K49" s="122">
        <f t="shared" si="5"/>
        <v>281140</v>
      </c>
      <c r="L49" s="122">
        <f>L50+L51</f>
        <v>281140</v>
      </c>
      <c r="M49" s="122">
        <f>M50+M51</f>
        <v>281140</v>
      </c>
    </row>
    <row r="50" spans="1:47" s="1" customFormat="1" ht="18" customHeight="1" x14ac:dyDescent="0.25">
      <c r="A50" s="5"/>
      <c r="B50" s="12"/>
      <c r="C50" s="12"/>
      <c r="D50" s="49" t="s">
        <v>73</v>
      </c>
      <c r="E50" s="12">
        <v>5</v>
      </c>
      <c r="F50" s="13">
        <v>31140</v>
      </c>
      <c r="G50" s="13">
        <f>250000-G51</f>
        <v>100000</v>
      </c>
      <c r="H50" s="13">
        <v>0</v>
      </c>
      <c r="I50" s="13">
        <v>0</v>
      </c>
      <c r="J50" s="89">
        <v>0</v>
      </c>
      <c r="K50" s="72">
        <f t="shared" si="5"/>
        <v>131140</v>
      </c>
      <c r="L50" s="72">
        <v>131140</v>
      </c>
      <c r="M50" s="72">
        <v>131140</v>
      </c>
    </row>
    <row r="51" spans="1:47" s="1" customFormat="1" ht="18" customHeight="1" x14ac:dyDescent="0.25">
      <c r="A51" s="5"/>
      <c r="B51" s="12"/>
      <c r="C51" s="12"/>
      <c r="D51" s="100" t="s">
        <v>74</v>
      </c>
      <c r="E51" s="101"/>
      <c r="F51" s="102"/>
      <c r="G51" s="102">
        <v>150000</v>
      </c>
      <c r="H51" s="102"/>
      <c r="I51" s="102">
        <v>0</v>
      </c>
      <c r="J51" s="103"/>
      <c r="K51" s="104">
        <f t="shared" si="5"/>
        <v>150000</v>
      </c>
      <c r="L51" s="104">
        <v>150000</v>
      </c>
      <c r="M51" s="104">
        <v>150000</v>
      </c>
    </row>
    <row r="52" spans="1:47" s="2" customFormat="1" ht="18" customHeight="1" x14ac:dyDescent="0.25">
      <c r="A52" s="4">
        <v>1.8</v>
      </c>
      <c r="B52" s="9">
        <v>195</v>
      </c>
      <c r="C52" s="93"/>
      <c r="D52" s="44" t="s">
        <v>39</v>
      </c>
      <c r="E52" s="10">
        <f>E53+E54</f>
        <v>7</v>
      </c>
      <c r="F52" s="11">
        <f>F53+F54</f>
        <v>37440</v>
      </c>
      <c r="G52" s="11">
        <f t="shared" ref="G52:J52" si="25">G53+G54</f>
        <v>15000</v>
      </c>
      <c r="H52" s="11">
        <f t="shared" si="25"/>
        <v>0</v>
      </c>
      <c r="I52" s="11">
        <f t="shared" si="25"/>
        <v>15000</v>
      </c>
      <c r="J52" s="90">
        <f t="shared" si="25"/>
        <v>0</v>
      </c>
      <c r="K52" s="120">
        <f>SUM(F52:J52)</f>
        <v>67440</v>
      </c>
      <c r="L52" s="120">
        <f>L53+L54</f>
        <v>67440</v>
      </c>
      <c r="M52" s="120">
        <f>M53+M54</f>
        <v>67440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s="1" customFormat="1" ht="18" customHeight="1" x14ac:dyDescent="0.25">
      <c r="A53" s="34"/>
      <c r="B53" s="36"/>
      <c r="C53" s="36"/>
      <c r="D53" s="95" t="s">
        <v>73</v>
      </c>
      <c r="E53" s="96">
        <v>7</v>
      </c>
      <c r="F53" s="97">
        <v>37440</v>
      </c>
      <c r="G53" s="97">
        <v>15000</v>
      </c>
      <c r="H53" s="97">
        <v>0</v>
      </c>
      <c r="I53" s="97">
        <v>0</v>
      </c>
      <c r="J53" s="98">
        <v>0</v>
      </c>
      <c r="K53" s="99">
        <f t="shared" si="5"/>
        <v>52440</v>
      </c>
      <c r="L53" s="99">
        <v>52440</v>
      </c>
      <c r="M53" s="99">
        <v>52440</v>
      </c>
    </row>
    <row r="54" spans="1:47" s="1" customFormat="1" ht="18" customHeight="1" x14ac:dyDescent="0.25">
      <c r="A54" s="34"/>
      <c r="B54" s="36"/>
      <c r="C54" s="36"/>
      <c r="D54" s="48" t="s">
        <v>74</v>
      </c>
      <c r="E54" s="36"/>
      <c r="F54" s="37"/>
      <c r="G54" s="37"/>
      <c r="H54" s="37"/>
      <c r="I54" s="37">
        <v>15000</v>
      </c>
      <c r="J54" s="86"/>
      <c r="K54" s="70">
        <f t="shared" si="5"/>
        <v>15000</v>
      </c>
      <c r="L54" s="70">
        <v>15000</v>
      </c>
      <c r="M54" s="70">
        <v>15000</v>
      </c>
    </row>
    <row r="55" spans="1:47" s="2" customFormat="1" ht="18" customHeight="1" x14ac:dyDescent="0.25">
      <c r="A55" s="4">
        <v>1.9</v>
      </c>
      <c r="B55" s="9">
        <v>470</v>
      </c>
      <c r="C55" s="10"/>
      <c r="D55" s="44" t="s">
        <v>40</v>
      </c>
      <c r="E55" s="10">
        <f>E56+E57</f>
        <v>26</v>
      </c>
      <c r="F55" s="11">
        <f>F56+F57</f>
        <v>142050</v>
      </c>
      <c r="G55" s="11">
        <f t="shared" ref="G55:I55" si="26">G56+G57</f>
        <v>60000</v>
      </c>
      <c r="H55" s="11">
        <f t="shared" si="26"/>
        <v>0</v>
      </c>
      <c r="I55" s="11">
        <f t="shared" si="26"/>
        <v>200000</v>
      </c>
      <c r="J55" s="90">
        <f>J56+J57</f>
        <v>60000</v>
      </c>
      <c r="K55" s="120">
        <f>SUM(F55:J55)</f>
        <v>462050</v>
      </c>
      <c r="L55" s="73">
        <f>L56+L57</f>
        <v>482050</v>
      </c>
      <c r="M55" s="73">
        <f>M56+M57</f>
        <v>482050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s="1" customFormat="1" ht="18" customHeight="1" x14ac:dyDescent="0.25">
      <c r="A56" s="34"/>
      <c r="B56" s="36"/>
      <c r="C56" s="36"/>
      <c r="D56" s="48" t="s">
        <v>73</v>
      </c>
      <c r="E56" s="36">
        <f>E59+E62</f>
        <v>26</v>
      </c>
      <c r="F56" s="37">
        <f>F59+F62</f>
        <v>142050</v>
      </c>
      <c r="G56" s="37">
        <f t="shared" ref="G56:J57" si="27">G59+G62</f>
        <v>60000</v>
      </c>
      <c r="H56" s="37">
        <f t="shared" si="27"/>
        <v>0</v>
      </c>
      <c r="I56" s="37">
        <f t="shared" si="27"/>
        <v>0</v>
      </c>
      <c r="J56" s="86">
        <f t="shared" si="27"/>
        <v>60000</v>
      </c>
      <c r="K56" s="70">
        <f t="shared" si="5"/>
        <v>262050</v>
      </c>
      <c r="L56" s="70">
        <f>L59+L62</f>
        <v>232050</v>
      </c>
      <c r="M56" s="70">
        <f>M59+M62</f>
        <v>232050</v>
      </c>
    </row>
    <row r="57" spans="1:47" s="1" customFormat="1" ht="18" customHeight="1" x14ac:dyDescent="0.25">
      <c r="A57" s="34"/>
      <c r="B57" s="36"/>
      <c r="C57" s="36"/>
      <c r="D57" s="105" t="s">
        <v>74</v>
      </c>
      <c r="E57" s="106">
        <f>E60+E63</f>
        <v>0</v>
      </c>
      <c r="F57" s="107">
        <f>F60+F63</f>
        <v>0</v>
      </c>
      <c r="G57" s="107">
        <f t="shared" si="27"/>
        <v>0</v>
      </c>
      <c r="H57" s="107">
        <f t="shared" si="27"/>
        <v>0</v>
      </c>
      <c r="I57" s="107">
        <f>I60+I63</f>
        <v>200000</v>
      </c>
      <c r="J57" s="108">
        <f t="shared" si="27"/>
        <v>0</v>
      </c>
      <c r="K57" s="94">
        <f t="shared" si="5"/>
        <v>200000</v>
      </c>
      <c r="L57" s="94">
        <f>L60+L63</f>
        <v>250000</v>
      </c>
      <c r="M57" s="94">
        <f>M60+M63</f>
        <v>250000</v>
      </c>
    </row>
    <row r="58" spans="1:47" s="1" customFormat="1" ht="18" customHeight="1" x14ac:dyDescent="0.25">
      <c r="A58" s="38" t="s">
        <v>41</v>
      </c>
      <c r="B58" s="121"/>
      <c r="C58" s="114">
        <v>47022</v>
      </c>
      <c r="D58" s="45" t="s">
        <v>42</v>
      </c>
      <c r="E58" s="39">
        <f>E59+E60</f>
        <v>8</v>
      </c>
      <c r="F58" s="41">
        <f>F59+F60</f>
        <v>52650</v>
      </c>
      <c r="G58" s="41">
        <f t="shared" ref="G58:J58" si="28">G59+G60</f>
        <v>30000</v>
      </c>
      <c r="H58" s="41">
        <f t="shared" si="28"/>
        <v>0</v>
      </c>
      <c r="I58" s="41">
        <f t="shared" si="28"/>
        <v>200000</v>
      </c>
      <c r="J58" s="87">
        <f t="shared" si="28"/>
        <v>0</v>
      </c>
      <c r="K58" s="71">
        <f t="shared" si="5"/>
        <v>282650</v>
      </c>
      <c r="L58" s="71">
        <f>L59+L60</f>
        <v>362650</v>
      </c>
      <c r="M58" s="71">
        <f>M59+M60</f>
        <v>362650</v>
      </c>
    </row>
    <row r="59" spans="1:47" s="1" customFormat="1" ht="18" customHeight="1" x14ac:dyDescent="0.25">
      <c r="A59" s="5"/>
      <c r="B59" s="12"/>
      <c r="C59" s="12"/>
      <c r="D59" s="115" t="s">
        <v>73</v>
      </c>
      <c r="E59" s="116">
        <v>8</v>
      </c>
      <c r="F59" s="117">
        <v>52650</v>
      </c>
      <c r="G59" s="117">
        <v>30000</v>
      </c>
      <c r="H59" s="117">
        <v>0</v>
      </c>
      <c r="I59" s="117">
        <v>0</v>
      </c>
      <c r="J59" s="118">
        <v>0</v>
      </c>
      <c r="K59" s="69">
        <f t="shared" si="5"/>
        <v>82650</v>
      </c>
      <c r="L59" s="69">
        <v>112650</v>
      </c>
      <c r="M59" s="69">
        <v>112650</v>
      </c>
    </row>
    <row r="60" spans="1:47" s="1" customFormat="1" ht="18" customHeight="1" x14ac:dyDescent="0.25">
      <c r="A60" s="5"/>
      <c r="B60" s="12"/>
      <c r="C60" s="12"/>
      <c r="D60" s="100" t="s">
        <v>74</v>
      </c>
      <c r="E60" s="101"/>
      <c r="F60" s="102"/>
      <c r="G60" s="102"/>
      <c r="H60" s="102"/>
      <c r="I60" s="102">
        <f>250000-50000</f>
        <v>200000</v>
      </c>
      <c r="J60" s="103"/>
      <c r="K60" s="104">
        <f t="shared" si="5"/>
        <v>200000</v>
      </c>
      <c r="L60" s="104">
        <v>250000</v>
      </c>
      <c r="M60" s="104">
        <v>250000</v>
      </c>
    </row>
    <row r="61" spans="1:47" s="1" customFormat="1" ht="18" customHeight="1" x14ac:dyDescent="0.25">
      <c r="A61" s="38" t="s">
        <v>43</v>
      </c>
      <c r="B61" s="39"/>
      <c r="C61" s="114">
        <v>47102</v>
      </c>
      <c r="D61" s="45" t="s">
        <v>44</v>
      </c>
      <c r="E61" s="39">
        <f>E62+E63</f>
        <v>18</v>
      </c>
      <c r="F61" s="41">
        <f>F62+F63</f>
        <v>89400</v>
      </c>
      <c r="G61" s="41">
        <f t="shared" ref="G61:J61" si="29">G62+G63</f>
        <v>30000</v>
      </c>
      <c r="H61" s="41">
        <f t="shared" si="29"/>
        <v>0</v>
      </c>
      <c r="I61" s="41">
        <f t="shared" si="29"/>
        <v>0</v>
      </c>
      <c r="J61" s="87">
        <f t="shared" si="29"/>
        <v>60000</v>
      </c>
      <c r="K61" s="71">
        <f t="shared" si="5"/>
        <v>179400</v>
      </c>
      <c r="L61" s="71">
        <f>L62+L63</f>
        <v>119400</v>
      </c>
      <c r="M61" s="71">
        <f>M62+M63</f>
        <v>119400</v>
      </c>
    </row>
    <row r="62" spans="1:47" s="1" customFormat="1" ht="18" customHeight="1" x14ac:dyDescent="0.25">
      <c r="A62" s="5"/>
      <c r="B62" s="12"/>
      <c r="C62" s="12"/>
      <c r="D62" s="115" t="s">
        <v>73</v>
      </c>
      <c r="E62" s="116">
        <v>18</v>
      </c>
      <c r="F62" s="117">
        <v>89400</v>
      </c>
      <c r="G62" s="117">
        <v>30000</v>
      </c>
      <c r="H62" s="117">
        <v>0</v>
      </c>
      <c r="I62" s="117">
        <v>0</v>
      </c>
      <c r="J62" s="118">
        <v>60000</v>
      </c>
      <c r="K62" s="69">
        <f t="shared" si="5"/>
        <v>179400</v>
      </c>
      <c r="L62" s="69">
        <v>119400</v>
      </c>
      <c r="M62" s="69">
        <v>119400</v>
      </c>
    </row>
    <row r="63" spans="1:47" s="1" customFormat="1" ht="18" customHeight="1" x14ac:dyDescent="0.25">
      <c r="A63" s="5"/>
      <c r="B63" s="12"/>
      <c r="C63" s="12"/>
      <c r="D63" s="100" t="s">
        <v>74</v>
      </c>
      <c r="E63" s="101"/>
      <c r="F63" s="102"/>
      <c r="G63" s="102">
        <v>0</v>
      </c>
      <c r="H63" s="102"/>
      <c r="I63" s="102"/>
      <c r="J63" s="103"/>
      <c r="K63" s="104">
        <f t="shared" si="5"/>
        <v>0</v>
      </c>
      <c r="L63" s="104">
        <v>0</v>
      </c>
      <c r="M63" s="104">
        <v>0</v>
      </c>
    </row>
    <row r="64" spans="1:47" s="2" customFormat="1" ht="18" customHeight="1" x14ac:dyDescent="0.25">
      <c r="A64" s="6" t="s">
        <v>45</v>
      </c>
      <c r="B64" s="9">
        <v>480</v>
      </c>
      <c r="C64" s="93">
        <v>48022</v>
      </c>
      <c r="D64" s="46" t="s">
        <v>46</v>
      </c>
      <c r="E64" s="10">
        <f>E65+E66</f>
        <v>13</v>
      </c>
      <c r="F64" s="11">
        <f t="shared" ref="F64:J64" si="30">F65+F66</f>
        <v>80150</v>
      </c>
      <c r="G64" s="11">
        <f t="shared" si="30"/>
        <v>700000</v>
      </c>
      <c r="H64" s="11">
        <f t="shared" si="30"/>
        <v>151100</v>
      </c>
      <c r="I64" s="11">
        <f t="shared" si="30"/>
        <v>0</v>
      </c>
      <c r="J64" s="90">
        <f t="shared" si="30"/>
        <v>4003763</v>
      </c>
      <c r="K64" s="73">
        <f t="shared" si="5"/>
        <v>4935013</v>
      </c>
      <c r="L64" s="73">
        <f>L65+L66</f>
        <v>5307595</v>
      </c>
      <c r="M64" s="73">
        <f>M65+M66</f>
        <v>6062258</v>
      </c>
      <c r="N64" s="1"/>
      <c r="O64" s="1"/>
      <c r="P64" s="20">
        <f>L8+L9+L6</f>
        <v>22986166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s="1" customFormat="1" ht="18" customHeight="1" x14ac:dyDescent="0.25">
      <c r="A65" s="34"/>
      <c r="B65" s="36"/>
      <c r="C65" s="36"/>
      <c r="D65" s="95" t="s">
        <v>73</v>
      </c>
      <c r="E65" s="96">
        <v>13</v>
      </c>
      <c r="F65" s="97">
        <v>80150</v>
      </c>
      <c r="G65" s="97">
        <f>700000-G66</f>
        <v>400000</v>
      </c>
      <c r="H65" s="97">
        <f>151100-H66</f>
        <v>151100</v>
      </c>
      <c r="I65" s="97">
        <v>0</v>
      </c>
      <c r="J65" s="98">
        <f>3803763-J66+150000+50000</f>
        <v>2829552</v>
      </c>
      <c r="K65" s="99">
        <f t="shared" si="5"/>
        <v>3460802</v>
      </c>
      <c r="L65" s="99">
        <v>3437884</v>
      </c>
      <c r="M65" s="99">
        <v>3927710</v>
      </c>
    </row>
    <row r="66" spans="1:47" s="1" customFormat="1" ht="18" customHeight="1" x14ac:dyDescent="0.25">
      <c r="A66" s="34"/>
      <c r="B66" s="36"/>
      <c r="C66" s="36"/>
      <c r="D66" s="105" t="s">
        <v>74</v>
      </c>
      <c r="E66" s="106"/>
      <c r="F66" s="107"/>
      <c r="G66" s="107">
        <v>300000</v>
      </c>
      <c r="H66" s="107">
        <v>0</v>
      </c>
      <c r="I66" s="107"/>
      <c r="J66" s="108">
        <v>1174211</v>
      </c>
      <c r="K66" s="94">
        <f t="shared" si="5"/>
        <v>1474211</v>
      </c>
      <c r="L66" s="94">
        <v>1869711</v>
      </c>
      <c r="M66" s="94">
        <v>2134548</v>
      </c>
    </row>
    <row r="67" spans="1:47" s="2" customFormat="1" ht="18" customHeight="1" x14ac:dyDescent="0.25">
      <c r="A67" s="4">
        <v>1.1100000000000001</v>
      </c>
      <c r="B67" s="9">
        <v>650</v>
      </c>
      <c r="C67" s="93">
        <v>65110</v>
      </c>
      <c r="D67" s="46" t="s">
        <v>47</v>
      </c>
      <c r="E67" s="10">
        <f>E68+E69</f>
        <v>19</v>
      </c>
      <c r="F67" s="11">
        <f t="shared" ref="F67:J67" si="31">F68+F69</f>
        <v>106100</v>
      </c>
      <c r="G67" s="11">
        <f t="shared" si="31"/>
        <v>15000</v>
      </c>
      <c r="H67" s="11">
        <f t="shared" si="31"/>
        <v>0</v>
      </c>
      <c r="I67" s="11">
        <f t="shared" si="31"/>
        <v>0</v>
      </c>
      <c r="J67" s="90">
        <f t="shared" si="31"/>
        <v>0</v>
      </c>
      <c r="K67" s="73">
        <f t="shared" si="5"/>
        <v>121100</v>
      </c>
      <c r="L67" s="73">
        <f>L68+L69</f>
        <v>121100</v>
      </c>
      <c r="M67" s="73">
        <f>M68+M69</f>
        <v>121100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s="1" customFormat="1" ht="18" customHeight="1" x14ac:dyDescent="0.25">
      <c r="A68" s="34"/>
      <c r="B68" s="36"/>
      <c r="C68" s="36"/>
      <c r="D68" s="95" t="s">
        <v>73</v>
      </c>
      <c r="E68" s="96">
        <v>19</v>
      </c>
      <c r="F68" s="97">
        <v>106100</v>
      </c>
      <c r="G68" s="97">
        <v>15000</v>
      </c>
      <c r="H68" s="97">
        <v>0</v>
      </c>
      <c r="I68" s="97">
        <v>0</v>
      </c>
      <c r="J68" s="98">
        <v>0</v>
      </c>
      <c r="K68" s="99">
        <f t="shared" si="5"/>
        <v>121100</v>
      </c>
      <c r="L68" s="99">
        <v>121100</v>
      </c>
      <c r="M68" s="99">
        <v>121100</v>
      </c>
    </row>
    <row r="69" spans="1:47" s="1" customFormat="1" ht="18" customHeight="1" x14ac:dyDescent="0.25">
      <c r="A69" s="34"/>
      <c r="B69" s="36"/>
      <c r="C69" s="36"/>
      <c r="D69" s="105" t="s">
        <v>74</v>
      </c>
      <c r="E69" s="106"/>
      <c r="F69" s="107"/>
      <c r="G69" s="107"/>
      <c r="H69" s="107"/>
      <c r="I69" s="107"/>
      <c r="J69" s="108"/>
      <c r="K69" s="94">
        <f t="shared" si="5"/>
        <v>0</v>
      </c>
      <c r="L69" s="94">
        <v>0</v>
      </c>
      <c r="M69" s="94">
        <v>0</v>
      </c>
    </row>
    <row r="70" spans="1:47" s="2" customFormat="1" ht="18" customHeight="1" x14ac:dyDescent="0.25">
      <c r="A70" s="4">
        <v>1.1200000000000001</v>
      </c>
      <c r="B70" s="9">
        <v>660</v>
      </c>
      <c r="C70" s="93">
        <v>66115</v>
      </c>
      <c r="D70" s="46" t="s">
        <v>48</v>
      </c>
      <c r="E70" s="10">
        <f>E71+E72</f>
        <v>15</v>
      </c>
      <c r="F70" s="11">
        <f t="shared" ref="F70:J70" si="32">F71+F72</f>
        <v>80450</v>
      </c>
      <c r="G70" s="11">
        <f t="shared" si="32"/>
        <v>80000</v>
      </c>
      <c r="H70" s="11">
        <f t="shared" si="32"/>
        <v>0</v>
      </c>
      <c r="I70" s="11">
        <f t="shared" si="32"/>
        <v>0</v>
      </c>
      <c r="J70" s="90">
        <f t="shared" si="32"/>
        <v>210000</v>
      </c>
      <c r="K70" s="73">
        <f>SUM(F70:J70)</f>
        <v>370450</v>
      </c>
      <c r="L70" s="73">
        <f>L71+L72</f>
        <v>364443</v>
      </c>
      <c r="M70" s="73">
        <f>M71+M72</f>
        <v>160450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s="1" customFormat="1" ht="18" customHeight="1" x14ac:dyDescent="0.25">
      <c r="A71" s="34"/>
      <c r="B71" s="36"/>
      <c r="C71" s="36"/>
      <c r="D71" s="95" t="s">
        <v>73</v>
      </c>
      <c r="E71" s="96">
        <f>14+1</f>
        <v>15</v>
      </c>
      <c r="F71" s="97">
        <v>80450</v>
      </c>
      <c r="G71" s="97">
        <v>80000</v>
      </c>
      <c r="H71" s="97">
        <v>0</v>
      </c>
      <c r="I71" s="97">
        <v>0</v>
      </c>
      <c r="J71" s="98">
        <f>280000-J72-50000-20000</f>
        <v>10000</v>
      </c>
      <c r="K71" s="99">
        <f t="shared" ref="K71:K110" si="33">SUM(F71:J71)</f>
        <v>170450</v>
      </c>
      <c r="L71" s="99">
        <v>210450</v>
      </c>
      <c r="M71" s="99">
        <v>160450</v>
      </c>
    </row>
    <row r="72" spans="1:47" s="1" customFormat="1" ht="18" customHeight="1" x14ac:dyDescent="0.25">
      <c r="A72" s="34"/>
      <c r="B72" s="36"/>
      <c r="C72" s="36"/>
      <c r="D72" s="105" t="s">
        <v>74</v>
      </c>
      <c r="E72" s="106"/>
      <c r="F72" s="107"/>
      <c r="G72" s="107"/>
      <c r="H72" s="107"/>
      <c r="I72" s="107"/>
      <c r="J72" s="108">
        <f>200000</f>
        <v>200000</v>
      </c>
      <c r="K72" s="94">
        <f t="shared" si="33"/>
        <v>200000</v>
      </c>
      <c r="L72" s="94">
        <v>153993</v>
      </c>
      <c r="M72" s="94">
        <v>0</v>
      </c>
    </row>
    <row r="73" spans="1:47" s="2" customFormat="1" ht="18" customHeight="1" x14ac:dyDescent="0.25">
      <c r="A73" s="4">
        <v>1.1299999999999999</v>
      </c>
      <c r="B73" s="14">
        <v>730</v>
      </c>
      <c r="C73" s="119"/>
      <c r="D73" s="46" t="s">
        <v>49</v>
      </c>
      <c r="E73" s="10">
        <f>E74+E75</f>
        <v>301</v>
      </c>
      <c r="F73" s="11">
        <f t="shared" ref="F73:J73" si="34">F74+F75</f>
        <v>2131133</v>
      </c>
      <c r="G73" s="11">
        <f t="shared" si="34"/>
        <v>635750</v>
      </c>
      <c r="H73" s="11">
        <f t="shared" si="34"/>
        <v>99000</v>
      </c>
      <c r="I73" s="11">
        <f t="shared" si="34"/>
        <v>130000</v>
      </c>
      <c r="J73" s="90">
        <f t="shared" si="34"/>
        <v>375000</v>
      </c>
      <c r="K73" s="73">
        <f t="shared" si="33"/>
        <v>3370883</v>
      </c>
      <c r="L73" s="73">
        <f>L74+L75</f>
        <v>3997893</v>
      </c>
      <c r="M73" s="73">
        <f>M74+M75</f>
        <v>4176696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s="1" customFormat="1" ht="18" customHeight="1" x14ac:dyDescent="0.25">
      <c r="A74" s="34"/>
      <c r="B74" s="36"/>
      <c r="C74" s="36"/>
      <c r="D74" s="95" t="s">
        <v>73</v>
      </c>
      <c r="E74" s="96">
        <f>E77+E80</f>
        <v>301</v>
      </c>
      <c r="F74" s="97">
        <f>F77+F80</f>
        <v>2101133</v>
      </c>
      <c r="G74" s="97">
        <f t="shared" ref="G74:J75" si="35">G77+G80</f>
        <v>605750</v>
      </c>
      <c r="H74" s="97">
        <f t="shared" si="35"/>
        <v>99000</v>
      </c>
      <c r="I74" s="97">
        <f t="shared" si="35"/>
        <v>0</v>
      </c>
      <c r="J74" s="98">
        <f t="shared" si="35"/>
        <v>355000</v>
      </c>
      <c r="K74" s="99">
        <f t="shared" si="33"/>
        <v>3160883</v>
      </c>
      <c r="L74" s="99">
        <f>L77+L80</f>
        <v>3807893</v>
      </c>
      <c r="M74" s="99">
        <f>M77+M80</f>
        <v>3986696</v>
      </c>
    </row>
    <row r="75" spans="1:47" s="1" customFormat="1" ht="18" customHeight="1" x14ac:dyDescent="0.25">
      <c r="A75" s="34"/>
      <c r="B75" s="36"/>
      <c r="C75" s="36"/>
      <c r="D75" s="48" t="s">
        <v>74</v>
      </c>
      <c r="E75" s="36">
        <f>E78+E81</f>
        <v>0</v>
      </c>
      <c r="F75" s="37">
        <f>F78+F81</f>
        <v>30000</v>
      </c>
      <c r="G75" s="37">
        <f t="shared" si="35"/>
        <v>30000</v>
      </c>
      <c r="H75" s="37">
        <f t="shared" si="35"/>
        <v>0</v>
      </c>
      <c r="I75" s="37">
        <f t="shared" si="35"/>
        <v>130000</v>
      </c>
      <c r="J75" s="86">
        <v>20000</v>
      </c>
      <c r="K75" s="70">
        <f t="shared" si="33"/>
        <v>210000</v>
      </c>
      <c r="L75" s="70">
        <f>L78+L81</f>
        <v>190000</v>
      </c>
      <c r="M75" s="70">
        <f>M78+M81</f>
        <v>190000</v>
      </c>
    </row>
    <row r="76" spans="1:47" s="1" customFormat="1" ht="18" customHeight="1" x14ac:dyDescent="0.25">
      <c r="A76" s="38" t="s">
        <v>50</v>
      </c>
      <c r="B76" s="39"/>
      <c r="C76" s="42">
        <v>73031</v>
      </c>
      <c r="D76" s="45" t="s">
        <v>51</v>
      </c>
      <c r="E76" s="39">
        <f>E77+E78</f>
        <v>4</v>
      </c>
      <c r="F76" s="41">
        <f t="shared" ref="F76:J76" si="36">F77+F78</f>
        <v>26240</v>
      </c>
      <c r="G76" s="41">
        <f t="shared" si="36"/>
        <v>40000</v>
      </c>
      <c r="H76" s="41">
        <f t="shared" si="36"/>
        <v>0</v>
      </c>
      <c r="I76" s="41">
        <f t="shared" si="36"/>
        <v>130000</v>
      </c>
      <c r="J76" s="87">
        <f t="shared" si="36"/>
        <v>355000</v>
      </c>
      <c r="K76" s="71">
        <f t="shared" si="33"/>
        <v>551240</v>
      </c>
      <c r="L76" s="71">
        <f>L77+L78</f>
        <v>1061268</v>
      </c>
      <c r="M76" s="71">
        <f>M77+M78</f>
        <v>756240</v>
      </c>
    </row>
    <row r="77" spans="1:47" s="1" customFormat="1" ht="18" customHeight="1" x14ac:dyDescent="0.25">
      <c r="A77" s="5"/>
      <c r="B77" s="12"/>
      <c r="C77" s="12"/>
      <c r="D77" s="49" t="s">
        <v>73</v>
      </c>
      <c r="E77" s="12">
        <v>4</v>
      </c>
      <c r="F77" s="13">
        <v>26240</v>
      </c>
      <c r="G77" s="13">
        <f>100000-60000</f>
        <v>40000</v>
      </c>
      <c r="H77" s="13">
        <v>0</v>
      </c>
      <c r="I77" s="13">
        <v>0</v>
      </c>
      <c r="J77" s="89">
        <v>355000</v>
      </c>
      <c r="K77" s="72">
        <f t="shared" si="33"/>
        <v>421240</v>
      </c>
      <c r="L77" s="72">
        <v>931268</v>
      </c>
      <c r="M77" s="72">
        <v>626240</v>
      </c>
    </row>
    <row r="78" spans="1:47" s="1" customFormat="1" ht="18" customHeight="1" x14ac:dyDescent="0.25">
      <c r="A78" s="5"/>
      <c r="B78" s="12"/>
      <c r="C78" s="12"/>
      <c r="D78" s="49" t="s">
        <v>74</v>
      </c>
      <c r="E78" s="12"/>
      <c r="F78" s="13"/>
      <c r="G78" s="13">
        <v>0</v>
      </c>
      <c r="H78" s="13"/>
      <c r="I78" s="13">
        <v>130000</v>
      </c>
      <c r="J78" s="89"/>
      <c r="K78" s="72">
        <f t="shared" si="33"/>
        <v>130000</v>
      </c>
      <c r="L78" s="72">
        <v>130000</v>
      </c>
      <c r="M78" s="72">
        <v>130000</v>
      </c>
    </row>
    <row r="79" spans="1:47" s="1" customFormat="1" ht="18" customHeight="1" x14ac:dyDescent="0.25">
      <c r="A79" s="38" t="s">
        <v>52</v>
      </c>
      <c r="B79" s="39"/>
      <c r="C79" s="42">
        <v>74300</v>
      </c>
      <c r="D79" s="45" t="s">
        <v>53</v>
      </c>
      <c r="E79" s="39">
        <f>E80+E81</f>
        <v>297</v>
      </c>
      <c r="F79" s="41">
        <f t="shared" ref="F79:J79" si="37">F80+F81</f>
        <v>2104893</v>
      </c>
      <c r="G79" s="41">
        <f t="shared" si="37"/>
        <v>595750</v>
      </c>
      <c r="H79" s="41">
        <f t="shared" si="37"/>
        <v>99000</v>
      </c>
      <c r="I79" s="41">
        <f t="shared" si="37"/>
        <v>0</v>
      </c>
      <c r="J79" s="87">
        <f t="shared" si="37"/>
        <v>0</v>
      </c>
      <c r="K79" s="71">
        <f t="shared" si="33"/>
        <v>2799643</v>
      </c>
      <c r="L79" s="71">
        <f>L80+L81</f>
        <v>2936625</v>
      </c>
      <c r="M79" s="71">
        <f>M80+M81</f>
        <v>3420456</v>
      </c>
      <c r="N79" s="20">
        <f>N80-K79</f>
        <v>-60000</v>
      </c>
      <c r="O79" s="20">
        <f>O80-L79</f>
        <v>-60000</v>
      </c>
      <c r="P79" s="20">
        <f>P80-M79</f>
        <v>-400000</v>
      </c>
    </row>
    <row r="80" spans="1:47" s="1" customFormat="1" ht="18" customHeight="1" x14ac:dyDescent="0.25">
      <c r="A80" s="5"/>
      <c r="B80" s="12"/>
      <c r="C80" s="12"/>
      <c r="D80" s="49" t="s">
        <v>73</v>
      </c>
      <c r="E80" s="12">
        <v>297</v>
      </c>
      <c r="F80" s="13">
        <f>2104893-F81</f>
        <v>2074893</v>
      </c>
      <c r="G80" s="13">
        <f>535750-G81+60000</f>
        <v>565750</v>
      </c>
      <c r="H80" s="13">
        <v>99000</v>
      </c>
      <c r="I80" s="13">
        <v>0</v>
      </c>
      <c r="J80" s="89">
        <v>0</v>
      </c>
      <c r="K80" s="72">
        <f t="shared" si="33"/>
        <v>2739643</v>
      </c>
      <c r="L80" s="72">
        <v>2876625</v>
      </c>
      <c r="M80" s="72">
        <v>3360456</v>
      </c>
      <c r="N80" s="60">
        <v>2739643</v>
      </c>
      <c r="O80" s="60">
        <v>2876625</v>
      </c>
      <c r="P80" s="60">
        <v>3020456</v>
      </c>
    </row>
    <row r="81" spans="1:47" s="1" customFormat="1" ht="18" customHeight="1" x14ac:dyDescent="0.25">
      <c r="A81" s="5"/>
      <c r="B81" s="12"/>
      <c r="C81" s="12"/>
      <c r="D81" s="49" t="s">
        <v>74</v>
      </c>
      <c r="E81" s="12"/>
      <c r="F81" s="13">
        <v>30000</v>
      </c>
      <c r="G81" s="13">
        <v>30000</v>
      </c>
      <c r="H81" s="13"/>
      <c r="I81" s="13"/>
      <c r="J81" s="89">
        <v>0</v>
      </c>
      <c r="K81" s="72">
        <f t="shared" si="33"/>
        <v>60000</v>
      </c>
      <c r="L81" s="72">
        <v>60000</v>
      </c>
      <c r="M81" s="72">
        <v>60000</v>
      </c>
      <c r="O81" s="60">
        <v>3000000</v>
      </c>
    </row>
    <row r="82" spans="1:47" s="2" customFormat="1" ht="18" customHeight="1" x14ac:dyDescent="0.25">
      <c r="A82" s="4">
        <v>1.1399999999999999</v>
      </c>
      <c r="B82" s="10"/>
      <c r="C82" s="9">
        <v>75606</v>
      </c>
      <c r="D82" s="46" t="s">
        <v>54</v>
      </c>
      <c r="E82" s="10">
        <f>E83+E84</f>
        <v>32</v>
      </c>
      <c r="F82" s="11">
        <f t="shared" ref="F82:J82" si="38">F83+F84</f>
        <v>167500</v>
      </c>
      <c r="G82" s="11">
        <f t="shared" si="38"/>
        <v>30000</v>
      </c>
      <c r="H82" s="11">
        <f t="shared" si="38"/>
        <v>5000</v>
      </c>
      <c r="I82" s="11">
        <f t="shared" si="38"/>
        <v>220000</v>
      </c>
      <c r="J82" s="90">
        <f t="shared" si="38"/>
        <v>180000</v>
      </c>
      <c r="K82" s="73">
        <f t="shared" si="33"/>
        <v>602500</v>
      </c>
      <c r="L82" s="73">
        <f>L83+L84</f>
        <v>707000</v>
      </c>
      <c r="M82" s="73">
        <f>M83+M84</f>
        <v>765000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s="1" customFormat="1" ht="18" customHeight="1" x14ac:dyDescent="0.25">
      <c r="A83" s="34"/>
      <c r="B83" s="36"/>
      <c r="C83" s="36"/>
      <c r="D83" s="48" t="s">
        <v>73</v>
      </c>
      <c r="E83" s="36">
        <v>32</v>
      </c>
      <c r="F83" s="37">
        <v>167500</v>
      </c>
      <c r="G83" s="37">
        <v>30000</v>
      </c>
      <c r="H83" s="37">
        <v>5000</v>
      </c>
      <c r="I83" s="37">
        <v>0</v>
      </c>
      <c r="J83" s="86">
        <v>180000</v>
      </c>
      <c r="K83" s="70">
        <f t="shared" si="33"/>
        <v>382500</v>
      </c>
      <c r="L83" s="70">
        <v>352500</v>
      </c>
      <c r="M83" s="70">
        <v>352500</v>
      </c>
      <c r="O83" s="20">
        <f>O81-O80</f>
        <v>123375</v>
      </c>
    </row>
    <row r="84" spans="1:47" s="1" customFormat="1" ht="18" customHeight="1" x14ac:dyDescent="0.25">
      <c r="A84" s="34"/>
      <c r="B84" s="36"/>
      <c r="C84" s="36"/>
      <c r="D84" s="48" t="s">
        <v>74</v>
      </c>
      <c r="E84" s="36"/>
      <c r="F84" s="37"/>
      <c r="G84" s="37"/>
      <c r="H84" s="37"/>
      <c r="I84" s="37">
        <f>250000-30000</f>
        <v>220000</v>
      </c>
      <c r="J84" s="86"/>
      <c r="K84" s="70">
        <f t="shared" si="33"/>
        <v>220000</v>
      </c>
      <c r="L84" s="70">
        <v>354500</v>
      </c>
      <c r="M84" s="70">
        <v>412500</v>
      </c>
    </row>
    <row r="85" spans="1:47" s="2" customFormat="1" ht="18" customHeight="1" x14ac:dyDescent="0.25">
      <c r="A85" s="7">
        <v>1.1499999999999999</v>
      </c>
      <c r="B85" s="14">
        <v>850</v>
      </c>
      <c r="C85" s="14"/>
      <c r="D85" s="44" t="s">
        <v>65</v>
      </c>
      <c r="E85" s="10">
        <f>E86+E87+E88</f>
        <v>80</v>
      </c>
      <c r="F85" s="11">
        <f t="shared" ref="F85:J85" si="39">F86+F87+F88</f>
        <v>380700</v>
      </c>
      <c r="G85" s="11">
        <f t="shared" si="39"/>
        <v>86000</v>
      </c>
      <c r="H85" s="11">
        <f t="shared" si="39"/>
        <v>80000</v>
      </c>
      <c r="I85" s="11">
        <f t="shared" si="39"/>
        <v>268500</v>
      </c>
      <c r="J85" s="90">
        <f t="shared" si="39"/>
        <v>338000</v>
      </c>
      <c r="K85" s="73">
        <f t="shared" si="33"/>
        <v>1153200</v>
      </c>
      <c r="L85" s="73">
        <f>L86+L87+L88</f>
        <v>1635200</v>
      </c>
      <c r="M85" s="73">
        <f>M86+M87+M88</f>
        <v>1573200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s="1" customFormat="1" ht="18" customHeight="1" x14ac:dyDescent="0.25">
      <c r="A86" s="34"/>
      <c r="B86" s="36"/>
      <c r="C86" s="36"/>
      <c r="D86" s="48" t="s">
        <v>73</v>
      </c>
      <c r="E86" s="36">
        <f t="shared" ref="E86:J87" si="40">E90+E93</f>
        <v>58</v>
      </c>
      <c r="F86" s="37">
        <f t="shared" si="40"/>
        <v>279310</v>
      </c>
      <c r="G86" s="37">
        <f t="shared" si="40"/>
        <v>86000</v>
      </c>
      <c r="H86" s="37">
        <f t="shared" si="40"/>
        <v>80000</v>
      </c>
      <c r="I86" s="37">
        <f t="shared" si="40"/>
        <v>0</v>
      </c>
      <c r="J86" s="86">
        <f t="shared" si="40"/>
        <v>338000</v>
      </c>
      <c r="K86" s="70">
        <f t="shared" si="33"/>
        <v>783310</v>
      </c>
      <c r="L86" s="70">
        <f>L90+L93</f>
        <v>1265310</v>
      </c>
      <c r="M86" s="70">
        <f>M90+M93</f>
        <v>1203310</v>
      </c>
      <c r="N86" s="20">
        <f>M80+P79</f>
        <v>2960456</v>
      </c>
    </row>
    <row r="87" spans="1:47" s="1" customFormat="1" ht="18" customHeight="1" x14ac:dyDescent="0.25">
      <c r="A87" s="34"/>
      <c r="B87" s="36"/>
      <c r="C87" s="36"/>
      <c r="D87" s="48" t="s">
        <v>74</v>
      </c>
      <c r="E87" s="36">
        <f t="shared" si="40"/>
        <v>0</v>
      </c>
      <c r="F87" s="37">
        <f t="shared" si="40"/>
        <v>0</v>
      </c>
      <c r="G87" s="37">
        <f t="shared" si="40"/>
        <v>0</v>
      </c>
      <c r="H87" s="37">
        <f t="shared" si="40"/>
        <v>0</v>
      </c>
      <c r="I87" s="37">
        <f t="shared" si="40"/>
        <v>200000</v>
      </c>
      <c r="J87" s="86">
        <f t="shared" si="40"/>
        <v>0</v>
      </c>
      <c r="K87" s="70">
        <f t="shared" si="33"/>
        <v>200000</v>
      </c>
      <c r="L87" s="70">
        <f>L91+L94</f>
        <v>200000</v>
      </c>
      <c r="M87" s="70">
        <f>M91+M94</f>
        <v>200000</v>
      </c>
    </row>
    <row r="88" spans="1:47" s="1" customFormat="1" ht="18" customHeight="1" x14ac:dyDescent="0.25">
      <c r="A88" s="34"/>
      <c r="B88" s="36"/>
      <c r="C88" s="36"/>
      <c r="D88" s="48" t="s">
        <v>75</v>
      </c>
      <c r="E88" s="36">
        <f>E95</f>
        <v>22</v>
      </c>
      <c r="F88" s="37">
        <f>F95</f>
        <v>101390</v>
      </c>
      <c r="G88" s="37">
        <f t="shared" ref="G88:J88" si="41">G95</f>
        <v>0</v>
      </c>
      <c r="H88" s="37">
        <f t="shared" si="41"/>
        <v>0</v>
      </c>
      <c r="I88" s="37">
        <f t="shared" si="41"/>
        <v>68500</v>
      </c>
      <c r="J88" s="86">
        <f t="shared" si="41"/>
        <v>0</v>
      </c>
      <c r="K88" s="70">
        <f t="shared" si="33"/>
        <v>169890</v>
      </c>
      <c r="L88" s="70">
        <f>L95</f>
        <v>169890</v>
      </c>
      <c r="M88" s="70">
        <f>M95</f>
        <v>169890</v>
      </c>
    </row>
    <row r="89" spans="1:47" s="1" customFormat="1" ht="18" customHeight="1" x14ac:dyDescent="0.25">
      <c r="A89" s="38" t="s">
        <v>50</v>
      </c>
      <c r="B89" s="39"/>
      <c r="C89" s="42">
        <v>85022</v>
      </c>
      <c r="D89" s="45" t="s">
        <v>55</v>
      </c>
      <c r="E89" s="39">
        <f>E90+E91</f>
        <v>58</v>
      </c>
      <c r="F89" s="41">
        <f t="shared" ref="F89:J89" si="42">F90+F91</f>
        <v>279310</v>
      </c>
      <c r="G89" s="41">
        <f t="shared" si="42"/>
        <v>86000</v>
      </c>
      <c r="H89" s="41">
        <f t="shared" si="42"/>
        <v>80000</v>
      </c>
      <c r="I89" s="41">
        <f t="shared" si="42"/>
        <v>200000</v>
      </c>
      <c r="J89" s="87">
        <f t="shared" si="42"/>
        <v>338000</v>
      </c>
      <c r="K89" s="71">
        <f t="shared" si="33"/>
        <v>983310</v>
      </c>
      <c r="L89" s="71">
        <v>1476000</v>
      </c>
      <c r="M89" s="71">
        <v>1414000</v>
      </c>
    </row>
    <row r="90" spans="1:47" s="1" customFormat="1" ht="18" customHeight="1" x14ac:dyDescent="0.25">
      <c r="A90" s="5"/>
      <c r="B90" s="12"/>
      <c r="C90" s="12"/>
      <c r="D90" s="49" t="s">
        <v>73</v>
      </c>
      <c r="E90" s="12">
        <v>58</v>
      </c>
      <c r="F90" s="13">
        <v>279310</v>
      </c>
      <c r="G90" s="13">
        <v>86000</v>
      </c>
      <c r="H90" s="13">
        <v>80000</v>
      </c>
      <c r="I90" s="13">
        <v>0</v>
      </c>
      <c r="J90" s="89">
        <v>338000</v>
      </c>
      <c r="K90" s="72">
        <f t="shared" si="33"/>
        <v>783310</v>
      </c>
      <c r="L90" s="72">
        <v>1265310</v>
      </c>
      <c r="M90" s="72">
        <v>1203310</v>
      </c>
    </row>
    <row r="91" spans="1:47" s="1" customFormat="1" ht="18" customHeight="1" x14ac:dyDescent="0.25">
      <c r="A91" s="5"/>
      <c r="B91" s="12"/>
      <c r="C91" s="12"/>
      <c r="D91" s="49" t="s">
        <v>74</v>
      </c>
      <c r="E91" s="12"/>
      <c r="F91" s="13"/>
      <c r="G91" s="13">
        <v>0</v>
      </c>
      <c r="H91" s="13"/>
      <c r="I91" s="13">
        <v>200000</v>
      </c>
      <c r="J91" s="89"/>
      <c r="K91" s="72">
        <f t="shared" si="33"/>
        <v>200000</v>
      </c>
      <c r="L91" s="72">
        <v>200000</v>
      </c>
      <c r="M91" s="72">
        <v>200000</v>
      </c>
    </row>
    <row r="92" spans="1:47" s="1" customFormat="1" ht="18" customHeight="1" x14ac:dyDescent="0.25">
      <c r="A92" s="38" t="s">
        <v>52</v>
      </c>
      <c r="B92" s="39"/>
      <c r="C92" s="42">
        <v>85193</v>
      </c>
      <c r="D92" s="45" t="s">
        <v>64</v>
      </c>
      <c r="E92" s="39">
        <f>E93+E94+E95</f>
        <v>22</v>
      </c>
      <c r="F92" s="41">
        <f t="shared" ref="F92:J92" si="43">F93+F94+F95</f>
        <v>101390</v>
      </c>
      <c r="G92" s="41">
        <f t="shared" si="43"/>
        <v>0</v>
      </c>
      <c r="H92" s="41">
        <f t="shared" si="43"/>
        <v>0</v>
      </c>
      <c r="I92" s="41">
        <f t="shared" si="43"/>
        <v>68500</v>
      </c>
      <c r="J92" s="87">
        <f t="shared" si="43"/>
        <v>0</v>
      </c>
      <c r="K92" s="71">
        <f t="shared" si="33"/>
        <v>169890</v>
      </c>
      <c r="L92" s="71">
        <v>169890</v>
      </c>
      <c r="M92" s="71">
        <v>169890</v>
      </c>
    </row>
    <row r="93" spans="1:47" s="1" customFormat="1" ht="18" customHeight="1" x14ac:dyDescent="0.25">
      <c r="A93" s="5"/>
      <c r="B93" s="12"/>
      <c r="C93" s="12"/>
      <c r="D93" s="49" t="s">
        <v>73</v>
      </c>
      <c r="E93" s="12"/>
      <c r="F93" s="13">
        <v>0</v>
      </c>
      <c r="G93" s="13">
        <v>0</v>
      </c>
      <c r="H93" s="13">
        <v>0</v>
      </c>
      <c r="I93" s="13"/>
      <c r="J93" s="89"/>
      <c r="K93" s="72">
        <f t="shared" si="33"/>
        <v>0</v>
      </c>
      <c r="L93" s="72">
        <v>0</v>
      </c>
      <c r="M93" s="72">
        <v>0</v>
      </c>
    </row>
    <row r="94" spans="1:47" s="1" customFormat="1" ht="18" customHeight="1" x14ac:dyDescent="0.25">
      <c r="A94" s="5"/>
      <c r="B94" s="12"/>
      <c r="C94" s="12"/>
      <c r="D94" s="49" t="s">
        <v>74</v>
      </c>
      <c r="E94" s="12"/>
      <c r="F94" s="13"/>
      <c r="G94" s="13"/>
      <c r="H94" s="13"/>
      <c r="I94" s="13"/>
      <c r="J94" s="89"/>
      <c r="K94" s="72">
        <f t="shared" si="33"/>
        <v>0</v>
      </c>
      <c r="L94" s="72">
        <v>0</v>
      </c>
      <c r="M94" s="72">
        <v>0</v>
      </c>
    </row>
    <row r="95" spans="1:47" s="1" customFormat="1" ht="18" customHeight="1" x14ac:dyDescent="0.25">
      <c r="A95" s="5"/>
      <c r="B95" s="12"/>
      <c r="C95" s="12"/>
      <c r="D95" s="49" t="s">
        <v>75</v>
      </c>
      <c r="E95" s="12">
        <v>22</v>
      </c>
      <c r="F95" s="13">
        <v>101390</v>
      </c>
      <c r="G95" s="13"/>
      <c r="H95" s="13"/>
      <c r="I95" s="13">
        <v>68500</v>
      </c>
      <c r="J95" s="89"/>
      <c r="K95" s="72">
        <f t="shared" si="33"/>
        <v>169890</v>
      </c>
      <c r="L95" s="72">
        <v>169890</v>
      </c>
      <c r="M95" s="72">
        <v>169890</v>
      </c>
    </row>
    <row r="96" spans="1:47" s="2" customFormat="1" ht="18" customHeight="1" x14ac:dyDescent="0.25">
      <c r="A96" s="4">
        <v>1.1599999999999999</v>
      </c>
      <c r="B96" s="14">
        <v>920</v>
      </c>
      <c r="C96" s="10"/>
      <c r="D96" s="44" t="s">
        <v>56</v>
      </c>
      <c r="E96" s="10">
        <f>E97+E98</f>
        <v>1293</v>
      </c>
      <c r="F96" s="11">
        <f>F97+F98</f>
        <v>8147775</v>
      </c>
      <c r="G96" s="11">
        <f t="shared" ref="G96:J96" si="44">G97+G98</f>
        <v>1230000</v>
      </c>
      <c r="H96" s="11">
        <f t="shared" si="44"/>
        <v>163000</v>
      </c>
      <c r="I96" s="11">
        <f t="shared" si="44"/>
        <v>0</v>
      </c>
      <c r="J96" s="90">
        <f t="shared" si="44"/>
        <v>981133</v>
      </c>
      <c r="K96" s="73">
        <f t="shared" si="33"/>
        <v>10521908</v>
      </c>
      <c r="L96" s="73">
        <f>L97+L98</f>
        <v>10808985</v>
      </c>
      <c r="M96" s="73">
        <f>M97+M98</f>
        <v>10407680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15" s="1" customFormat="1" ht="18" customHeight="1" x14ac:dyDescent="0.25">
      <c r="A97" s="34"/>
      <c r="B97" s="36"/>
      <c r="C97" s="36"/>
      <c r="D97" s="48" t="s">
        <v>73</v>
      </c>
      <c r="E97" s="36">
        <f>E100+E103+E106+E109</f>
        <v>1293</v>
      </c>
      <c r="F97" s="37">
        <f>F100+F103+F106+F109</f>
        <v>8104775</v>
      </c>
      <c r="G97" s="37">
        <f t="shared" ref="G97:J98" si="45">G100+G103+G106+G109</f>
        <v>1118000</v>
      </c>
      <c r="H97" s="37">
        <f t="shared" si="45"/>
        <v>155000</v>
      </c>
      <c r="I97" s="37">
        <f t="shared" si="45"/>
        <v>0</v>
      </c>
      <c r="J97" s="86">
        <f>J100+J103+J106+J109</f>
        <v>781133</v>
      </c>
      <c r="K97" s="70">
        <f t="shared" si="33"/>
        <v>10158908</v>
      </c>
      <c r="L97" s="70">
        <f>L100+L103+L106+L109</f>
        <v>10645985</v>
      </c>
      <c r="M97" s="70">
        <f>M100+M103+M106+M109</f>
        <v>10244680</v>
      </c>
    </row>
    <row r="98" spans="1:15" s="1" customFormat="1" ht="18" customHeight="1" x14ac:dyDescent="0.25">
      <c r="A98" s="34"/>
      <c r="B98" s="36"/>
      <c r="C98" s="36"/>
      <c r="D98" s="48" t="s">
        <v>74</v>
      </c>
      <c r="E98" s="36">
        <f>E101+E104+E107+E110</f>
        <v>0</v>
      </c>
      <c r="F98" s="37">
        <f>F101+F104+F107+F110</f>
        <v>43000</v>
      </c>
      <c r="G98" s="37">
        <f t="shared" si="45"/>
        <v>112000</v>
      </c>
      <c r="H98" s="37">
        <f t="shared" si="45"/>
        <v>8000</v>
      </c>
      <c r="I98" s="37">
        <f t="shared" si="45"/>
        <v>0</v>
      </c>
      <c r="J98" s="86">
        <f t="shared" si="45"/>
        <v>200000</v>
      </c>
      <c r="K98" s="70">
        <f>SUM(F98:J98)</f>
        <v>363000</v>
      </c>
      <c r="L98" s="70">
        <f>L101+L104+L107+L110</f>
        <v>163000</v>
      </c>
      <c r="M98" s="70">
        <f>M101+M104+M107+M110</f>
        <v>163000</v>
      </c>
    </row>
    <row r="99" spans="1:15" s="1" customFormat="1" ht="18" customHeight="1" x14ac:dyDescent="0.25">
      <c r="A99" s="38" t="s">
        <v>67</v>
      </c>
      <c r="B99" s="39"/>
      <c r="C99" s="42">
        <v>92110</v>
      </c>
      <c r="D99" s="45" t="s">
        <v>57</v>
      </c>
      <c r="E99" s="39">
        <f>E100+E101</f>
        <v>11</v>
      </c>
      <c r="F99" s="41">
        <f>F100+F101</f>
        <v>76775</v>
      </c>
      <c r="G99" s="41">
        <f t="shared" ref="G99:J99" si="46">G100+G101</f>
        <v>200000</v>
      </c>
      <c r="H99" s="41">
        <f t="shared" si="46"/>
        <v>155000</v>
      </c>
      <c r="I99" s="41">
        <f t="shared" si="46"/>
        <v>0</v>
      </c>
      <c r="J99" s="87">
        <f t="shared" si="46"/>
        <v>831133</v>
      </c>
      <c r="K99" s="71">
        <f t="shared" si="33"/>
        <v>1262908</v>
      </c>
      <c r="L99" s="71">
        <v>1630000</v>
      </c>
      <c r="M99" s="71">
        <v>1189135</v>
      </c>
    </row>
    <row r="100" spans="1:15" s="1" customFormat="1" ht="18" customHeight="1" x14ac:dyDescent="0.25">
      <c r="A100" s="5"/>
      <c r="B100" s="12"/>
      <c r="C100" s="12"/>
      <c r="D100" s="22" t="s">
        <v>73</v>
      </c>
      <c r="E100" s="12">
        <v>11</v>
      </c>
      <c r="F100" s="13">
        <v>76775</v>
      </c>
      <c r="G100" s="13">
        <v>200000</v>
      </c>
      <c r="H100" s="13">
        <v>155000</v>
      </c>
      <c r="I100" s="13">
        <v>0</v>
      </c>
      <c r="J100" s="89">
        <f>951133-J101+30000-150000</f>
        <v>631133</v>
      </c>
      <c r="K100" s="72">
        <f t="shared" si="33"/>
        <v>1062908</v>
      </c>
      <c r="L100" s="72">
        <v>1630000</v>
      </c>
      <c r="M100" s="72">
        <v>1189135</v>
      </c>
    </row>
    <row r="101" spans="1:15" s="1" customFormat="1" ht="18" customHeight="1" x14ac:dyDescent="0.25">
      <c r="A101" s="5"/>
      <c r="B101" s="12"/>
      <c r="C101" s="12"/>
      <c r="D101" s="22" t="s">
        <v>74</v>
      </c>
      <c r="E101" s="12"/>
      <c r="F101" s="13"/>
      <c r="G101" s="13">
        <v>0</v>
      </c>
      <c r="H101" s="13"/>
      <c r="I101" s="13"/>
      <c r="J101" s="89">
        <v>200000</v>
      </c>
      <c r="K101" s="72">
        <f t="shared" si="33"/>
        <v>200000</v>
      </c>
      <c r="L101" s="72">
        <v>0</v>
      </c>
      <c r="M101" s="72">
        <v>0</v>
      </c>
    </row>
    <row r="102" spans="1:15" s="1" customFormat="1" ht="18" customHeight="1" x14ac:dyDescent="0.25">
      <c r="A102" s="38" t="s">
        <v>58</v>
      </c>
      <c r="B102" s="39"/>
      <c r="C102" s="42">
        <v>92630</v>
      </c>
      <c r="D102" s="45" t="s">
        <v>59</v>
      </c>
      <c r="E102" s="39">
        <f>E103+E104</f>
        <v>62</v>
      </c>
      <c r="F102" s="41">
        <f>F103+F104</f>
        <v>321000</v>
      </c>
      <c r="G102" s="41">
        <f t="shared" ref="G102:J102" si="47">G103+G104</f>
        <v>130000</v>
      </c>
      <c r="H102" s="41">
        <f t="shared" si="47"/>
        <v>8000</v>
      </c>
      <c r="I102" s="41">
        <f t="shared" si="47"/>
        <v>0</v>
      </c>
      <c r="J102" s="87">
        <f t="shared" si="47"/>
        <v>0</v>
      </c>
      <c r="K102" s="71">
        <f>SUM(F102:J102)</f>
        <v>459000</v>
      </c>
      <c r="L102" s="71">
        <f>L103+L104</f>
        <v>459000</v>
      </c>
      <c r="M102" s="71">
        <f>M103+M104</f>
        <v>459000</v>
      </c>
    </row>
    <row r="103" spans="1:15" s="1" customFormat="1" ht="18" customHeight="1" x14ac:dyDescent="0.25">
      <c r="A103" s="5"/>
      <c r="B103" s="12"/>
      <c r="C103" s="12"/>
      <c r="D103" s="22" t="s">
        <v>73</v>
      </c>
      <c r="E103" s="12">
        <v>62</v>
      </c>
      <c r="F103" s="13">
        <v>321000</v>
      </c>
      <c r="G103" s="13">
        <f>130000-G104</f>
        <v>38000</v>
      </c>
      <c r="H103" s="13">
        <v>0</v>
      </c>
      <c r="I103" s="13">
        <v>0</v>
      </c>
      <c r="J103" s="89">
        <v>0</v>
      </c>
      <c r="K103" s="72">
        <f t="shared" si="33"/>
        <v>359000</v>
      </c>
      <c r="L103" s="72">
        <v>359000</v>
      </c>
      <c r="M103" s="72">
        <v>359000</v>
      </c>
    </row>
    <row r="104" spans="1:15" s="1" customFormat="1" ht="18" customHeight="1" x14ac:dyDescent="0.25">
      <c r="A104" s="5"/>
      <c r="B104" s="12"/>
      <c r="C104" s="12"/>
      <c r="D104" s="22" t="s">
        <v>74</v>
      </c>
      <c r="E104" s="12"/>
      <c r="F104" s="13"/>
      <c r="G104" s="13">
        <v>92000</v>
      </c>
      <c r="H104" s="13">
        <v>8000</v>
      </c>
      <c r="I104" s="13">
        <v>0</v>
      </c>
      <c r="J104" s="89">
        <v>0</v>
      </c>
      <c r="K104" s="72">
        <f t="shared" si="33"/>
        <v>100000</v>
      </c>
      <c r="L104" s="72">
        <v>100000</v>
      </c>
      <c r="M104" s="72">
        <v>100000</v>
      </c>
    </row>
    <row r="105" spans="1:15" s="1" customFormat="1" ht="18" customHeight="1" x14ac:dyDescent="0.25">
      <c r="A105" s="38" t="s">
        <v>60</v>
      </c>
      <c r="B105" s="39"/>
      <c r="C105" s="42">
        <v>93630</v>
      </c>
      <c r="D105" s="45" t="s">
        <v>61</v>
      </c>
      <c r="E105" s="39">
        <f>E106+E107</f>
        <v>909</v>
      </c>
      <c r="F105" s="41">
        <f>F106+F107</f>
        <v>5609000</v>
      </c>
      <c r="G105" s="41">
        <f t="shared" ref="G105:J105" si="48">G106+G107</f>
        <v>600000</v>
      </c>
      <c r="H105" s="41">
        <f t="shared" si="48"/>
        <v>0</v>
      </c>
      <c r="I105" s="41">
        <f t="shared" si="48"/>
        <v>0</v>
      </c>
      <c r="J105" s="87">
        <f t="shared" si="48"/>
        <v>150000</v>
      </c>
      <c r="K105" s="71">
        <f t="shared" si="33"/>
        <v>6359000</v>
      </c>
      <c r="L105" s="71">
        <f>L106+L107</f>
        <v>6218875</v>
      </c>
      <c r="M105" s="71">
        <f>M106+M107</f>
        <v>6228545</v>
      </c>
      <c r="O105" s="20"/>
    </row>
    <row r="106" spans="1:15" s="1" customFormat="1" ht="18" customHeight="1" x14ac:dyDescent="0.25">
      <c r="A106" s="5"/>
      <c r="B106" s="12"/>
      <c r="C106" s="12"/>
      <c r="D106" s="22" t="s">
        <v>73</v>
      </c>
      <c r="E106" s="12">
        <v>909</v>
      </c>
      <c r="F106" s="13">
        <f>5650000-41000</f>
        <v>5609000</v>
      </c>
      <c r="G106" s="13">
        <v>600000</v>
      </c>
      <c r="H106" s="13">
        <v>0</v>
      </c>
      <c r="I106" s="13">
        <v>0</v>
      </c>
      <c r="J106" s="89">
        <v>150000</v>
      </c>
      <c r="K106" s="72">
        <f t="shared" si="33"/>
        <v>6359000</v>
      </c>
      <c r="L106" s="72">
        <v>6218875</v>
      </c>
      <c r="M106" s="72">
        <v>6228545</v>
      </c>
      <c r="O106" s="20"/>
    </row>
    <row r="107" spans="1:15" s="1" customFormat="1" ht="18" customHeight="1" x14ac:dyDescent="0.25">
      <c r="A107" s="5"/>
      <c r="B107" s="12"/>
      <c r="C107" s="12"/>
      <c r="D107" s="22" t="s">
        <v>74</v>
      </c>
      <c r="E107" s="12"/>
      <c r="F107" s="13"/>
      <c r="G107" s="13"/>
      <c r="H107" s="13"/>
      <c r="I107" s="13"/>
      <c r="J107" s="89"/>
      <c r="K107" s="72">
        <f t="shared" si="33"/>
        <v>0</v>
      </c>
      <c r="L107" s="72">
        <v>0</v>
      </c>
      <c r="M107" s="72">
        <v>0</v>
      </c>
    </row>
    <row r="108" spans="1:15" s="1" customFormat="1" ht="18" customHeight="1" x14ac:dyDescent="0.25">
      <c r="A108" s="38" t="s">
        <v>62</v>
      </c>
      <c r="B108" s="39"/>
      <c r="C108" s="42">
        <v>94830</v>
      </c>
      <c r="D108" s="45" t="s">
        <v>63</v>
      </c>
      <c r="E108" s="39">
        <f>E109+E110</f>
        <v>311</v>
      </c>
      <c r="F108" s="41">
        <f>F109+F110</f>
        <v>2141000</v>
      </c>
      <c r="G108" s="41">
        <f t="shared" ref="G108:J108" si="49">G109+G110</f>
        <v>300000</v>
      </c>
      <c r="H108" s="41">
        <f t="shared" si="49"/>
        <v>0</v>
      </c>
      <c r="I108" s="41">
        <f t="shared" si="49"/>
        <v>0</v>
      </c>
      <c r="J108" s="87">
        <f t="shared" si="49"/>
        <v>0</v>
      </c>
      <c r="K108" s="71">
        <f t="shared" si="33"/>
        <v>2441000</v>
      </c>
      <c r="L108" s="71">
        <v>2501110</v>
      </c>
      <c r="M108" s="71">
        <v>2591000</v>
      </c>
    </row>
    <row r="109" spans="1:15" s="1" customFormat="1" ht="18" customHeight="1" x14ac:dyDescent="0.25">
      <c r="A109" s="5"/>
      <c r="B109" s="12"/>
      <c r="C109" s="12"/>
      <c r="D109" s="22" t="s">
        <v>73</v>
      </c>
      <c r="E109" s="12">
        <v>311</v>
      </c>
      <c r="F109" s="13">
        <f>2141000-F110</f>
        <v>2098000</v>
      </c>
      <c r="G109" s="13">
        <f>300000-G110</f>
        <v>280000</v>
      </c>
      <c r="H109" s="13">
        <v>0</v>
      </c>
      <c r="I109" s="13"/>
      <c r="J109" s="89"/>
      <c r="K109" s="72">
        <f t="shared" si="33"/>
        <v>2378000</v>
      </c>
      <c r="L109" s="72">
        <v>2438110</v>
      </c>
      <c r="M109" s="72">
        <v>2468000</v>
      </c>
    </row>
    <row r="110" spans="1:15" s="1" customFormat="1" ht="18" customHeight="1" thickBot="1" x14ac:dyDescent="0.3">
      <c r="A110" s="8"/>
      <c r="B110" s="15"/>
      <c r="C110" s="15"/>
      <c r="D110" s="32" t="s">
        <v>74</v>
      </c>
      <c r="E110" s="15"/>
      <c r="F110" s="23">
        <v>43000</v>
      </c>
      <c r="G110" s="23">
        <v>20000</v>
      </c>
      <c r="H110" s="23"/>
      <c r="I110" s="23"/>
      <c r="J110" s="92"/>
      <c r="K110" s="74">
        <f t="shared" si="33"/>
        <v>63000</v>
      </c>
      <c r="L110" s="74">
        <v>63000</v>
      </c>
      <c r="M110" s="74">
        <v>63000</v>
      </c>
    </row>
    <row r="111" spans="1:15" x14ac:dyDescent="0.25">
      <c r="K111" s="21"/>
      <c r="L111" s="21"/>
      <c r="M111" s="21"/>
    </row>
    <row r="112" spans="1:15" x14ac:dyDescent="0.25">
      <c r="K112" s="21"/>
      <c r="L112" s="21"/>
      <c r="M112" s="21"/>
    </row>
    <row r="113" spans="10:13" x14ac:dyDescent="0.25">
      <c r="K113" s="21">
        <f>K108+K105+K102</f>
        <v>9259000</v>
      </c>
      <c r="L113" s="21">
        <f>L108+L105+L102</f>
        <v>9178985</v>
      </c>
      <c r="M113" s="21">
        <f>M108+M105+M102</f>
        <v>9278545</v>
      </c>
    </row>
    <row r="114" spans="10:13" x14ac:dyDescent="0.25">
      <c r="K114" s="63">
        <f>K115-K113</f>
        <v>-736032</v>
      </c>
      <c r="L114" s="64">
        <f>L115-L113</f>
        <v>0</v>
      </c>
      <c r="M114" s="21">
        <f>M115-M113</f>
        <v>-60000</v>
      </c>
    </row>
    <row r="115" spans="10:13" x14ac:dyDescent="0.25">
      <c r="J115" s="61"/>
      <c r="K115" s="62">
        <v>8522968</v>
      </c>
      <c r="L115" s="21">
        <f>L102+L105+L108</f>
        <v>9178985</v>
      </c>
      <c r="M115" s="62">
        <v>9218545</v>
      </c>
    </row>
    <row r="117" spans="10:13" x14ac:dyDescent="0.25">
      <c r="L117" s="21">
        <f>L115-9178985</f>
        <v>0</v>
      </c>
    </row>
    <row r="118" spans="10:13" x14ac:dyDescent="0.25">
      <c r="M118" s="21"/>
    </row>
    <row r="119" spans="10:13" x14ac:dyDescent="0.25">
      <c r="K119" s="21"/>
    </row>
    <row r="120" spans="10:13" x14ac:dyDescent="0.25">
      <c r="M120" s="21">
        <f>M6-M121</f>
        <v>-4169097</v>
      </c>
    </row>
    <row r="121" spans="10:13" x14ac:dyDescent="0.25">
      <c r="M121" s="18">
        <v>27678596</v>
      </c>
    </row>
  </sheetData>
  <mergeCells count="9">
    <mergeCell ref="F2:K2"/>
    <mergeCell ref="A1:M1"/>
    <mergeCell ref="L2:L3"/>
    <mergeCell ref="M2:M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59" fitToHeight="0" orientation="landscape" verticalDpi="0" r:id="rId1"/>
  <rowBreaks count="1" manualBreakCount="1">
    <brk id="72" max="12" man="1"/>
  </rowBreaks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kreshnik.zejnullahu</dc:creator>
  <cp:lastModifiedBy>Mentor Ujkani</cp:lastModifiedBy>
  <cp:lastPrinted>2022-12-23T09:10:58Z</cp:lastPrinted>
  <dcterms:created xsi:type="dcterms:W3CDTF">2020-08-12T08:13:51Z</dcterms:created>
  <dcterms:modified xsi:type="dcterms:W3CDTF">2023-01-12T13:46:09Z</dcterms:modified>
</cp:coreProperties>
</file>