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4240" windowHeight="118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Sheet1!$C$1:$C$182</definedName>
  </definedNames>
  <calcPr calcId="145621"/>
</workbook>
</file>

<file path=xl/calcChain.xml><?xml version="1.0" encoding="utf-8"?>
<calcChain xmlns="http://schemas.openxmlformats.org/spreadsheetml/2006/main">
  <c r="I164" i="1" l="1"/>
  <c r="J159" i="1"/>
  <c r="J153" i="1"/>
  <c r="J151" i="1"/>
  <c r="D90" i="1"/>
  <c r="D18" i="1"/>
  <c r="D163" i="1"/>
  <c r="D29" i="1"/>
  <c r="D120" i="1"/>
  <c r="D126" i="1"/>
  <c r="I160" i="1"/>
  <c r="E160" i="1"/>
  <c r="J165" i="1"/>
  <c r="D164" i="1" l="1"/>
  <c r="D77" i="1"/>
  <c r="D165" i="1"/>
  <c r="J115" i="1"/>
  <c r="J114" i="1"/>
  <c r="E116" i="1"/>
  <c r="F116" i="1"/>
  <c r="G116" i="1"/>
  <c r="H116" i="1"/>
  <c r="I116" i="1"/>
  <c r="D116" i="1"/>
  <c r="D110" i="1"/>
  <c r="D139" i="1"/>
  <c r="D160" i="1"/>
  <c r="D54" i="1"/>
  <c r="D15" i="1"/>
  <c r="D87" i="1"/>
  <c r="D148" i="1"/>
  <c r="D147" i="1"/>
  <c r="D142" i="1"/>
  <c r="D124" i="1"/>
  <c r="D51" i="1"/>
  <c r="D63" i="1"/>
  <c r="D33" i="1"/>
  <c r="D23" i="1"/>
  <c r="D155" i="1"/>
  <c r="D154" i="1"/>
  <c r="D130" i="1"/>
  <c r="D114" i="1"/>
  <c r="D111" i="1"/>
  <c r="D102" i="1"/>
  <c r="D81" i="1"/>
  <c r="D60" i="1"/>
  <c r="G164" i="1"/>
  <c r="G163" i="1"/>
  <c r="G162" i="1"/>
  <c r="G161" i="1"/>
  <c r="G160" i="1"/>
  <c r="G23" i="1"/>
  <c r="I90" i="1"/>
  <c r="I97" i="1"/>
  <c r="G126" i="1"/>
  <c r="G120" i="1"/>
  <c r="G77" i="1"/>
  <c r="G63" i="1"/>
  <c r="G54" i="1"/>
  <c r="D19" i="1" l="1"/>
  <c r="G29" i="1"/>
  <c r="G159" i="1"/>
  <c r="E164" i="1"/>
  <c r="F164" i="1"/>
  <c r="H164" i="1"/>
  <c r="E163" i="1"/>
  <c r="F163" i="1"/>
  <c r="H163" i="1"/>
  <c r="I163" i="1"/>
  <c r="E162" i="1"/>
  <c r="F162" i="1"/>
  <c r="H162" i="1"/>
  <c r="I162" i="1"/>
  <c r="E161" i="1"/>
  <c r="F161" i="1"/>
  <c r="H161" i="1"/>
  <c r="I161" i="1"/>
  <c r="F160" i="1"/>
  <c r="H160" i="1"/>
  <c r="G97" i="1"/>
  <c r="G73" i="1"/>
  <c r="G19" i="1"/>
  <c r="D162" i="1"/>
  <c r="J162" i="1" l="1"/>
  <c r="J163" i="1"/>
  <c r="J164" i="1"/>
  <c r="J166" i="1" s="1"/>
  <c r="I166" i="1"/>
  <c r="J160" i="1"/>
  <c r="J161" i="1"/>
  <c r="H166" i="1"/>
  <c r="G166" i="1"/>
  <c r="E166" i="1"/>
  <c r="F166" i="1"/>
  <c r="D161" i="1"/>
  <c r="D166" i="1" s="1"/>
  <c r="J155" i="1"/>
  <c r="J156" i="1"/>
  <c r="J157" i="1"/>
  <c r="J158" i="1"/>
  <c r="J154" i="1"/>
  <c r="E159" i="1"/>
  <c r="F159" i="1"/>
  <c r="H159" i="1"/>
  <c r="I159" i="1"/>
  <c r="D159" i="1"/>
  <c r="J148" i="1"/>
  <c r="J149" i="1"/>
  <c r="J150" i="1"/>
  <c r="J152" i="1"/>
  <c r="J147" i="1"/>
  <c r="E153" i="1"/>
  <c r="F153" i="1"/>
  <c r="G153" i="1"/>
  <c r="H153" i="1"/>
  <c r="I153" i="1"/>
  <c r="D153" i="1"/>
  <c r="J142" i="1"/>
  <c r="J143" i="1"/>
  <c r="J144" i="1"/>
  <c r="J145" i="1"/>
  <c r="J141" i="1"/>
  <c r="E146" i="1"/>
  <c r="F146" i="1"/>
  <c r="G146" i="1"/>
  <c r="H146" i="1"/>
  <c r="I146" i="1"/>
  <c r="J136" i="1"/>
  <c r="J137" i="1"/>
  <c r="J138" i="1"/>
  <c r="J139" i="1"/>
  <c r="J135" i="1"/>
  <c r="E140" i="1"/>
  <c r="F140" i="1"/>
  <c r="G140" i="1"/>
  <c r="H140" i="1"/>
  <c r="I140" i="1"/>
  <c r="J130" i="1"/>
  <c r="J131" i="1"/>
  <c r="J132" i="1"/>
  <c r="J133" i="1"/>
  <c r="J129" i="1"/>
  <c r="E134" i="1"/>
  <c r="F134" i="1"/>
  <c r="G134" i="1"/>
  <c r="H134" i="1"/>
  <c r="I134" i="1"/>
  <c r="J124" i="1"/>
  <c r="J125" i="1"/>
  <c r="J126" i="1"/>
  <c r="J127" i="1"/>
  <c r="J123" i="1"/>
  <c r="E128" i="1"/>
  <c r="F128" i="1"/>
  <c r="G128" i="1"/>
  <c r="H128" i="1"/>
  <c r="I128" i="1"/>
  <c r="J118" i="1"/>
  <c r="J119" i="1"/>
  <c r="J120" i="1"/>
  <c r="J121" i="1"/>
  <c r="J117" i="1"/>
  <c r="E122" i="1"/>
  <c r="F122" i="1"/>
  <c r="G122" i="1"/>
  <c r="H122" i="1"/>
  <c r="I122" i="1"/>
  <c r="J111" i="1"/>
  <c r="J112" i="1"/>
  <c r="J113" i="1"/>
  <c r="J110" i="1"/>
  <c r="J105" i="1"/>
  <c r="J106" i="1"/>
  <c r="J107" i="1"/>
  <c r="J108" i="1"/>
  <c r="J104" i="1"/>
  <c r="E109" i="1"/>
  <c r="F109" i="1"/>
  <c r="G109" i="1"/>
  <c r="H109" i="1"/>
  <c r="I109" i="1"/>
  <c r="J99" i="1"/>
  <c r="J100" i="1"/>
  <c r="J101" i="1"/>
  <c r="J102" i="1"/>
  <c r="J98" i="1"/>
  <c r="E103" i="1"/>
  <c r="F103" i="1"/>
  <c r="G103" i="1"/>
  <c r="H103" i="1"/>
  <c r="I103" i="1"/>
  <c r="D103" i="1"/>
  <c r="J116" i="1" l="1"/>
  <c r="J109" i="1"/>
  <c r="J122" i="1"/>
  <c r="J134" i="1"/>
  <c r="J128" i="1"/>
  <c r="J103" i="1"/>
  <c r="J146" i="1"/>
  <c r="J140" i="1"/>
  <c r="J93" i="1"/>
  <c r="J94" i="1"/>
  <c r="J95" i="1"/>
  <c r="J96" i="1"/>
  <c r="J92" i="1"/>
  <c r="J87" i="1"/>
  <c r="J88" i="1"/>
  <c r="J89" i="1"/>
  <c r="J90" i="1"/>
  <c r="E97" i="1"/>
  <c r="F97" i="1"/>
  <c r="H97" i="1"/>
  <c r="J86" i="1"/>
  <c r="E91" i="1"/>
  <c r="F91" i="1"/>
  <c r="G91" i="1"/>
  <c r="H91" i="1"/>
  <c r="I91" i="1"/>
  <c r="J81" i="1"/>
  <c r="J82" i="1"/>
  <c r="J83" i="1"/>
  <c r="J84" i="1"/>
  <c r="J80" i="1"/>
  <c r="G85" i="1"/>
  <c r="H85" i="1"/>
  <c r="I85" i="1"/>
  <c r="E85" i="1"/>
  <c r="F85" i="1"/>
  <c r="J75" i="1"/>
  <c r="J76" i="1"/>
  <c r="J77" i="1"/>
  <c r="J78" i="1"/>
  <c r="J74" i="1"/>
  <c r="E79" i="1"/>
  <c r="F79" i="1"/>
  <c r="G79" i="1"/>
  <c r="H79" i="1"/>
  <c r="I79" i="1"/>
  <c r="J69" i="1"/>
  <c r="J70" i="1"/>
  <c r="J71" i="1"/>
  <c r="J72" i="1"/>
  <c r="J68" i="1"/>
  <c r="E73" i="1"/>
  <c r="F73" i="1"/>
  <c r="H73" i="1"/>
  <c r="I73" i="1"/>
  <c r="E67" i="1"/>
  <c r="F67" i="1"/>
  <c r="G67" i="1"/>
  <c r="H67" i="1"/>
  <c r="I67" i="1"/>
  <c r="E61" i="1"/>
  <c r="F61" i="1"/>
  <c r="G61" i="1"/>
  <c r="H61" i="1"/>
  <c r="I61" i="1"/>
  <c r="J63" i="1"/>
  <c r="J64" i="1"/>
  <c r="J65" i="1"/>
  <c r="J66" i="1"/>
  <c r="J62" i="1"/>
  <c r="J57" i="1"/>
  <c r="J58" i="1"/>
  <c r="J59" i="1"/>
  <c r="J60" i="1"/>
  <c r="J56" i="1"/>
  <c r="J51" i="1"/>
  <c r="J52" i="1"/>
  <c r="J53" i="1"/>
  <c r="J54" i="1"/>
  <c r="J50" i="1"/>
  <c r="E55" i="1"/>
  <c r="F55" i="1"/>
  <c r="G55" i="1"/>
  <c r="H55" i="1"/>
  <c r="I55" i="1"/>
  <c r="J97" i="1" l="1"/>
  <c r="J61" i="1"/>
  <c r="J85" i="1"/>
  <c r="J55" i="1"/>
  <c r="J79" i="1"/>
  <c r="J73" i="1"/>
  <c r="J91" i="1"/>
  <c r="J67" i="1"/>
  <c r="J45" i="1"/>
  <c r="J46" i="1"/>
  <c r="J47" i="1"/>
  <c r="J48" i="1"/>
  <c r="J44" i="1"/>
  <c r="E49" i="1"/>
  <c r="F49" i="1"/>
  <c r="G49" i="1"/>
  <c r="H49" i="1"/>
  <c r="I49" i="1"/>
  <c r="J39" i="1"/>
  <c r="J40" i="1"/>
  <c r="J41" i="1"/>
  <c r="J38" i="1"/>
  <c r="E43" i="1"/>
  <c r="F43" i="1"/>
  <c r="G43" i="1"/>
  <c r="H43" i="1"/>
  <c r="I43" i="1"/>
  <c r="J33" i="1"/>
  <c r="J34" i="1"/>
  <c r="J35" i="1"/>
  <c r="J36" i="1"/>
  <c r="J32" i="1"/>
  <c r="E37" i="1"/>
  <c r="F37" i="1"/>
  <c r="G37" i="1"/>
  <c r="H37" i="1"/>
  <c r="I37" i="1"/>
  <c r="J49" i="1" l="1"/>
  <c r="J43" i="1"/>
  <c r="J37" i="1"/>
  <c r="J27" i="1"/>
  <c r="J28" i="1"/>
  <c r="J29" i="1"/>
  <c r="J30" i="1"/>
  <c r="J26" i="1"/>
  <c r="E31" i="1"/>
  <c r="F31" i="1"/>
  <c r="G31" i="1"/>
  <c r="H31" i="1"/>
  <c r="I31" i="1"/>
  <c r="J21" i="1"/>
  <c r="J22" i="1"/>
  <c r="J23" i="1"/>
  <c r="J24" i="1"/>
  <c r="J20" i="1"/>
  <c r="J18" i="1"/>
  <c r="J15" i="1"/>
  <c r="J16" i="1"/>
  <c r="J17" i="1"/>
  <c r="J14" i="1"/>
  <c r="E19" i="1"/>
  <c r="F19" i="1"/>
  <c r="H19" i="1"/>
  <c r="I19" i="1"/>
  <c r="E25" i="1"/>
  <c r="F25" i="1"/>
  <c r="G25" i="1"/>
  <c r="H25" i="1"/>
  <c r="I25" i="1"/>
  <c r="J9" i="1"/>
  <c r="J10" i="1"/>
  <c r="J11" i="1"/>
  <c r="J12" i="1"/>
  <c r="J8" i="1"/>
  <c r="E13" i="1"/>
  <c r="F13" i="1"/>
  <c r="G13" i="1"/>
  <c r="H13" i="1"/>
  <c r="I13" i="1"/>
  <c r="D146" i="1"/>
  <c r="D140" i="1"/>
  <c r="D134" i="1"/>
  <c r="D128" i="1"/>
  <c r="D122" i="1"/>
  <c r="D109" i="1"/>
  <c r="D97" i="1"/>
  <c r="D91" i="1"/>
  <c r="D85" i="1"/>
  <c r="D79" i="1"/>
  <c r="D73" i="1"/>
  <c r="D67" i="1"/>
  <c r="D61" i="1"/>
  <c r="D55" i="1"/>
  <c r="D49" i="1"/>
  <c r="D43" i="1"/>
  <c r="D37" i="1"/>
  <c r="D31" i="1"/>
  <c r="D25" i="1"/>
  <c r="D13" i="1"/>
  <c r="J3" i="1"/>
  <c r="K3" i="1" s="1"/>
  <c r="J4" i="1"/>
  <c r="K4" i="1" s="1"/>
  <c r="J5" i="1"/>
  <c r="K5" i="1" s="1"/>
  <c r="J6" i="1"/>
  <c r="K6" i="1" s="1"/>
  <c r="J2" i="1"/>
  <c r="K2" i="1" s="1"/>
  <c r="E7" i="1"/>
  <c r="F7" i="1"/>
  <c r="G7" i="1"/>
  <c r="H7" i="1"/>
  <c r="I7" i="1"/>
  <c r="D7" i="1"/>
  <c r="J31" i="1" l="1"/>
  <c r="J25" i="1"/>
  <c r="J19" i="1"/>
  <c r="J13" i="1"/>
  <c r="J7" i="1"/>
</calcChain>
</file>

<file path=xl/sharedStrings.xml><?xml version="1.0" encoding="utf-8"?>
<sst xmlns="http://schemas.openxmlformats.org/spreadsheetml/2006/main" count="203" uniqueCount="46">
  <si>
    <t>Nr</t>
  </si>
  <si>
    <t>Drejtoria</t>
  </si>
  <si>
    <t>Kategoria Ekonomike</t>
  </si>
  <si>
    <t>Shpenzimet nga Huamarrjet</t>
  </si>
  <si>
    <t>Shpenzimet nga Granti Qeveritar</t>
  </si>
  <si>
    <t>Shpenzimet nga THV 21+22</t>
  </si>
  <si>
    <t>Shpenzimet nga Donatorët e B.</t>
  </si>
  <si>
    <t>Shpenzimet nga Donatorët e J.</t>
  </si>
  <si>
    <t>TOTAL SHPENZIMIT</t>
  </si>
  <si>
    <t>% Realizimit</t>
  </si>
  <si>
    <t>Zyra e Kryetarit</t>
  </si>
  <si>
    <t>Paga dhe Meditje</t>
  </si>
  <si>
    <t>Mallra dhe Shërbime</t>
  </si>
  <si>
    <t>Shpenzime Komunale</t>
  </si>
  <si>
    <t>Subvencione</t>
  </si>
  <si>
    <t>Investime Kapitale</t>
  </si>
  <si>
    <t>TOTALI</t>
  </si>
  <si>
    <t>Auditorët e Brendshëm</t>
  </si>
  <si>
    <t>Administrata</t>
  </si>
  <si>
    <t>Çështja Gjinore</t>
  </si>
  <si>
    <t>Integrime Evropiane</t>
  </si>
  <si>
    <t>Inspeksioni</t>
  </si>
  <si>
    <t>Prokurimi</t>
  </si>
  <si>
    <t>Zyra e Kuvendit Komunal</t>
  </si>
  <si>
    <t>Shërbimet e Zjarrfikësve</t>
  </si>
  <si>
    <t>Menaxhimi Fatkeqësive Natyrore</t>
  </si>
  <si>
    <t>ZLKK</t>
  </si>
  <si>
    <t>Bujqësia</t>
  </si>
  <si>
    <t>Pylltari dhe Inspeksion</t>
  </si>
  <si>
    <t>Zhvillim Ekonomik</t>
  </si>
  <si>
    <t>Gjeodezi dhe Kadastër</t>
  </si>
  <si>
    <t>Planifikim Hapsinor dhe Rregullativ</t>
  </si>
  <si>
    <t>Administrata Shëndetësi</t>
  </si>
  <si>
    <t>QKMF</t>
  </si>
  <si>
    <t>Mirëqenia Sociale</t>
  </si>
  <si>
    <t>DKRS</t>
  </si>
  <si>
    <t>Teatri i Qytetit</t>
  </si>
  <si>
    <t>Administrata Arsim</t>
  </si>
  <si>
    <t>Arsimi Parafillor</t>
  </si>
  <si>
    <t>Arsimi Fillor</t>
  </si>
  <si>
    <t>Rezerva</t>
  </si>
  <si>
    <t>Arsimi Mesëm</t>
  </si>
  <si>
    <t>KOMUNA E MITROVICËS</t>
  </si>
  <si>
    <t>Buxheti 31.12.2022</t>
  </si>
  <si>
    <t xml:space="preserve">Buxhet dhe Financa </t>
  </si>
  <si>
    <t>Financimet nga Huamarrjet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</si>
</sst>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10" fontId="3" fillId="0" borderId="6" xfId="0" applyNumberFormat="1" applyFont="1" applyBorder="1" applyAlignment="1">
      <alignment vertical="center"/>
    </xf>
    <xf numFmtId="43" fontId="2" fillId="3" borderId="5" xfId="1" applyFont="1" applyFill="1" applyBorder="1" applyAlignment="1">
      <alignment vertical="center"/>
    </xf>
    <xf numFmtId="10" fontId="2" fillId="5" borderId="6" xfId="0" applyNumberFormat="1" applyFont="1" applyFill="1" applyBorder="1" applyAlignment="1">
      <alignment vertical="center"/>
    </xf>
    <xf numFmtId="10" fontId="2" fillId="6" borderId="6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43" fontId="4" fillId="4" borderId="5" xfId="1" applyFont="1" applyFill="1" applyBorder="1" applyAlignment="1">
      <alignment vertical="center"/>
    </xf>
    <xf numFmtId="10" fontId="3" fillId="4" borderId="6" xfId="0" applyNumberFormat="1" applyFont="1" applyFill="1" applyBorder="1" applyAlignment="1">
      <alignment vertical="center"/>
    </xf>
    <xf numFmtId="43" fontId="4" fillId="4" borderId="12" xfId="1" applyFont="1" applyFill="1" applyBorder="1" applyAlignment="1">
      <alignment vertical="center"/>
    </xf>
    <xf numFmtId="43" fontId="4" fillId="2" borderId="7" xfId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10" fontId="0" fillId="0" borderId="0" xfId="0" applyNumberFormat="1"/>
    <xf numFmtId="43" fontId="3" fillId="0" borderId="0" xfId="1" applyFont="1"/>
    <xf numFmtId="43" fontId="3" fillId="0" borderId="27" xfId="1" applyFont="1" applyBorder="1" applyAlignment="1">
      <alignment vertical="center"/>
    </xf>
    <xf numFmtId="43" fontId="3" fillId="0" borderId="26" xfId="1" applyFont="1" applyBorder="1" applyAlignment="1">
      <alignment vertical="center"/>
    </xf>
    <xf numFmtId="43" fontId="2" fillId="0" borderId="27" xfId="1" applyFont="1" applyBorder="1" applyAlignment="1">
      <alignment vertical="center"/>
    </xf>
    <xf numFmtId="4" fontId="0" fillId="0" borderId="0" xfId="0" applyNumberFormat="1"/>
    <xf numFmtId="43" fontId="0" fillId="0" borderId="0" xfId="0" applyNumberFormat="1"/>
    <xf numFmtId="43" fontId="3" fillId="0" borderId="25" xfId="1" applyFont="1" applyBorder="1" applyAlignment="1">
      <alignment vertical="center"/>
    </xf>
    <xf numFmtId="43" fontId="0" fillId="0" borderId="0" xfId="1" applyFont="1"/>
    <xf numFmtId="43" fontId="2" fillId="0" borderId="28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3" fontId="2" fillId="6" borderId="5" xfId="1" applyFont="1" applyFill="1" applyBorder="1" applyAlignment="1">
      <alignment vertical="center"/>
    </xf>
    <xf numFmtId="43" fontId="2" fillId="6" borderId="27" xfId="1" applyFont="1" applyFill="1" applyBorder="1" applyAlignment="1">
      <alignment vertical="center"/>
    </xf>
    <xf numFmtId="43" fontId="0" fillId="6" borderId="0" xfId="0" applyNumberFormat="1" applyFill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textRotation="45"/>
    </xf>
    <xf numFmtId="0" fontId="4" fillId="4" borderId="16" xfId="0" applyFont="1" applyFill="1" applyBorder="1" applyAlignment="1">
      <alignment horizontal="center" vertical="center" textRotation="45"/>
    </xf>
    <xf numFmtId="0" fontId="4" fillId="4" borderId="17" xfId="0" applyFont="1" applyFill="1" applyBorder="1" applyAlignment="1">
      <alignment horizontal="center" vertical="center" textRotation="45"/>
    </xf>
    <xf numFmtId="0" fontId="4" fillId="4" borderId="18" xfId="0" applyFont="1" applyFill="1" applyBorder="1" applyAlignment="1">
      <alignment horizontal="center" vertical="center" textRotation="45"/>
    </xf>
    <xf numFmtId="0" fontId="4" fillId="4" borderId="19" xfId="0" applyFont="1" applyFill="1" applyBorder="1" applyAlignment="1">
      <alignment horizontal="center" vertical="center" textRotation="45"/>
    </xf>
    <xf numFmtId="0" fontId="4" fillId="4" borderId="20" xfId="0" applyFont="1" applyFill="1" applyBorder="1" applyAlignment="1">
      <alignment horizontal="center" vertical="center" textRotation="45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workbookViewId="0">
      <selection activeCell="D170" sqref="D170"/>
    </sheetView>
  </sheetViews>
  <sheetFormatPr defaultRowHeight="15" x14ac:dyDescent="0.25"/>
  <cols>
    <col min="1" max="11" width="18" customWidth="1"/>
  </cols>
  <sheetData>
    <row r="1" spans="1:11" ht="25.5" x14ac:dyDescent="0.25">
      <c r="A1" s="2" t="s">
        <v>0</v>
      </c>
      <c r="B1" s="3" t="s">
        <v>1</v>
      </c>
      <c r="C1" s="3" t="s">
        <v>2</v>
      </c>
      <c r="D1" s="4" t="s">
        <v>43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</row>
    <row r="2" spans="1:11" x14ac:dyDescent="0.25">
      <c r="A2" s="40">
        <v>1</v>
      </c>
      <c r="B2" s="41" t="s">
        <v>10</v>
      </c>
      <c r="C2" s="6" t="s">
        <v>11</v>
      </c>
      <c r="D2" s="7">
        <v>126200</v>
      </c>
      <c r="E2" s="8">
        <v>0</v>
      </c>
      <c r="F2" s="8">
        <v>114236</v>
      </c>
      <c r="G2" s="8"/>
      <c r="H2" s="8"/>
      <c r="I2" s="8"/>
      <c r="J2" s="7">
        <f>SUM(E2:I2)</f>
        <v>114236</v>
      </c>
      <c r="K2" s="9">
        <f>J2/D2</f>
        <v>0.90519809825673536</v>
      </c>
    </row>
    <row r="3" spans="1:11" x14ac:dyDescent="0.25">
      <c r="A3" s="40"/>
      <c r="B3" s="42"/>
      <c r="C3" s="6" t="s">
        <v>12</v>
      </c>
      <c r="D3" s="7">
        <v>53000</v>
      </c>
      <c r="E3" s="8">
        <v>0</v>
      </c>
      <c r="F3" s="8">
        <v>52755.24</v>
      </c>
      <c r="G3" s="8">
        <v>0</v>
      </c>
      <c r="H3" s="8"/>
      <c r="I3" s="8"/>
      <c r="J3" s="7">
        <f>SUM(E3:I3)</f>
        <v>52755.24</v>
      </c>
      <c r="K3" s="9">
        <f t="shared" ref="K3:K6" si="0">J3/D3</f>
        <v>0.99538188679245276</v>
      </c>
    </row>
    <row r="4" spans="1:11" x14ac:dyDescent="0.25">
      <c r="A4" s="40"/>
      <c r="B4" s="42"/>
      <c r="C4" s="6" t="s">
        <v>13</v>
      </c>
      <c r="D4" s="7">
        <v>0</v>
      </c>
      <c r="E4" s="8">
        <v>0</v>
      </c>
      <c r="F4" s="8">
        <v>0</v>
      </c>
      <c r="G4" s="8"/>
      <c r="H4" s="8"/>
      <c r="I4" s="8"/>
      <c r="J4" s="7">
        <f t="shared" ref="J4:J6" si="1">SUM(E4:I4)</f>
        <v>0</v>
      </c>
      <c r="K4" s="9" t="e">
        <f t="shared" si="0"/>
        <v>#DIV/0!</v>
      </c>
    </row>
    <row r="5" spans="1:11" x14ac:dyDescent="0.25">
      <c r="A5" s="40"/>
      <c r="B5" s="42"/>
      <c r="C5" s="6" t="s">
        <v>14</v>
      </c>
      <c r="D5" s="7">
        <v>0</v>
      </c>
      <c r="E5" s="8">
        <v>0</v>
      </c>
      <c r="F5" s="8">
        <v>0</v>
      </c>
      <c r="G5" s="8">
        <v>0</v>
      </c>
      <c r="H5" s="8"/>
      <c r="I5" s="8"/>
      <c r="J5" s="7">
        <f t="shared" si="1"/>
        <v>0</v>
      </c>
      <c r="K5" s="9" t="e">
        <f t="shared" si="0"/>
        <v>#DIV/0!</v>
      </c>
    </row>
    <row r="6" spans="1:11" x14ac:dyDescent="0.25">
      <c r="A6" s="40"/>
      <c r="B6" s="43"/>
      <c r="C6" s="6" t="s">
        <v>15</v>
      </c>
      <c r="D6" s="7">
        <v>0</v>
      </c>
      <c r="E6" s="8">
        <v>0</v>
      </c>
      <c r="F6" s="8">
        <v>0</v>
      </c>
      <c r="G6" s="8"/>
      <c r="H6" s="8"/>
      <c r="I6" s="8"/>
      <c r="J6" s="7">
        <f t="shared" si="1"/>
        <v>0</v>
      </c>
      <c r="K6" s="9" t="e">
        <f t="shared" si="0"/>
        <v>#DIV/0!</v>
      </c>
    </row>
    <row r="7" spans="1:11" x14ac:dyDescent="0.25">
      <c r="A7" s="37" t="s">
        <v>16</v>
      </c>
      <c r="B7" s="38"/>
      <c r="C7" s="39"/>
      <c r="D7" s="10">
        <f>SUM(D2:D6)</f>
        <v>179200</v>
      </c>
      <c r="E7" s="10">
        <f t="shared" ref="E7:J7" si="2">SUM(E2:E6)</f>
        <v>0</v>
      </c>
      <c r="F7" s="10">
        <f t="shared" si="2"/>
        <v>166991.24</v>
      </c>
      <c r="G7" s="10">
        <f t="shared" si="2"/>
        <v>0</v>
      </c>
      <c r="H7" s="10">
        <f t="shared" si="2"/>
        <v>0</v>
      </c>
      <c r="I7" s="10">
        <f t="shared" si="2"/>
        <v>0</v>
      </c>
      <c r="J7" s="10">
        <f t="shared" si="2"/>
        <v>166991.24</v>
      </c>
      <c r="K7" s="11">
        <v>0.97892428404837006</v>
      </c>
    </row>
    <row r="8" spans="1:11" x14ac:dyDescent="0.25">
      <c r="A8" s="40">
        <v>2</v>
      </c>
      <c r="B8" s="44" t="s">
        <v>17</v>
      </c>
      <c r="C8" s="6" t="s">
        <v>11</v>
      </c>
      <c r="D8" s="7">
        <v>44160.42</v>
      </c>
      <c r="E8" s="8"/>
      <c r="F8" s="20">
        <v>44160.42</v>
      </c>
      <c r="G8" s="8">
        <v>0</v>
      </c>
      <c r="H8" s="8"/>
      <c r="I8" s="8"/>
      <c r="J8" s="7">
        <f>SUM(E8:I8)</f>
        <v>44160.42</v>
      </c>
      <c r="K8" s="9">
        <v>1</v>
      </c>
    </row>
    <row r="9" spans="1:11" x14ac:dyDescent="0.25">
      <c r="A9" s="40"/>
      <c r="B9" s="44"/>
      <c r="C9" s="6" t="s">
        <v>12</v>
      </c>
      <c r="D9" s="7">
        <v>12900</v>
      </c>
      <c r="E9" s="8"/>
      <c r="F9" s="8">
        <v>12759.5</v>
      </c>
      <c r="G9" s="8">
        <v>0</v>
      </c>
      <c r="H9" s="8"/>
      <c r="I9" s="8"/>
      <c r="J9" s="7">
        <f t="shared" ref="J9:J12" si="3">SUM(E9:I9)</f>
        <v>12759.5</v>
      </c>
      <c r="K9" s="9">
        <v>0.99560700000000002</v>
      </c>
    </row>
    <row r="10" spans="1:11" x14ac:dyDescent="0.25">
      <c r="A10" s="40"/>
      <c r="B10" s="44"/>
      <c r="C10" s="6" t="s">
        <v>13</v>
      </c>
      <c r="D10" s="7"/>
      <c r="E10" s="8"/>
      <c r="F10" s="8">
        <v>0</v>
      </c>
      <c r="G10" s="8"/>
      <c r="H10" s="8"/>
      <c r="I10" s="8"/>
      <c r="J10" s="7">
        <f t="shared" si="3"/>
        <v>0</v>
      </c>
      <c r="K10" s="9" t="e">
        <v>#DIV/0!</v>
      </c>
    </row>
    <row r="11" spans="1:11" x14ac:dyDescent="0.25">
      <c r="A11" s="40"/>
      <c r="B11" s="44"/>
      <c r="C11" s="6" t="s">
        <v>14</v>
      </c>
      <c r="D11" s="7"/>
      <c r="E11" s="8"/>
      <c r="F11" s="8">
        <v>0</v>
      </c>
      <c r="G11" s="8"/>
      <c r="H11" s="8"/>
      <c r="I11" s="8"/>
      <c r="J11" s="7">
        <f t="shared" si="3"/>
        <v>0</v>
      </c>
      <c r="K11" s="9" t="e">
        <v>#DIV/0!</v>
      </c>
    </row>
    <row r="12" spans="1:11" x14ac:dyDescent="0.25">
      <c r="A12" s="40"/>
      <c r="B12" s="44"/>
      <c r="C12" s="6" t="s">
        <v>15</v>
      </c>
      <c r="D12" s="7"/>
      <c r="E12" s="8"/>
      <c r="F12" s="8">
        <v>0</v>
      </c>
      <c r="G12" s="8"/>
      <c r="H12" s="8"/>
      <c r="I12" s="8"/>
      <c r="J12" s="7">
        <f t="shared" si="3"/>
        <v>0</v>
      </c>
      <c r="K12" s="9" t="e">
        <v>#DIV/0!</v>
      </c>
    </row>
    <row r="13" spans="1:11" x14ac:dyDescent="0.25">
      <c r="A13" s="37" t="s">
        <v>16</v>
      </c>
      <c r="B13" s="38"/>
      <c r="C13" s="39"/>
      <c r="D13" s="10">
        <f>SUM(D8:D12)</f>
        <v>57060.42</v>
      </c>
      <c r="E13" s="10">
        <f t="shared" ref="E13:I13" si="4">SUM(E8:E12)</f>
        <v>0</v>
      </c>
      <c r="F13" s="10">
        <f t="shared" si="4"/>
        <v>56919.92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>SUM(J8:J12)</f>
        <v>56919.92</v>
      </c>
      <c r="K13" s="11">
        <v>0.99918143060514131</v>
      </c>
    </row>
    <row r="14" spans="1:11" x14ac:dyDescent="0.25">
      <c r="A14" s="40">
        <v>3</v>
      </c>
      <c r="B14" s="45" t="s">
        <v>18</v>
      </c>
      <c r="C14" s="6" t="s">
        <v>11</v>
      </c>
      <c r="D14" s="7">
        <v>394246.40000000002</v>
      </c>
      <c r="E14" s="8"/>
      <c r="F14" s="8">
        <v>394246.40000000002</v>
      </c>
      <c r="H14" s="22"/>
      <c r="I14" s="8"/>
      <c r="J14" s="7">
        <f>SUM(E14:I14)</f>
        <v>394246.40000000002</v>
      </c>
      <c r="K14" s="9">
        <v>0.99821423346750793</v>
      </c>
    </row>
    <row r="15" spans="1:11" x14ac:dyDescent="0.25">
      <c r="A15" s="40"/>
      <c r="B15" s="45"/>
      <c r="C15" s="6" t="s">
        <v>12</v>
      </c>
      <c r="D15" s="7">
        <f>241500+150000+2160</f>
        <v>393660</v>
      </c>
      <c r="E15" s="8"/>
      <c r="F15" s="8">
        <v>239401.24</v>
      </c>
      <c r="G15" s="21">
        <v>147865.13</v>
      </c>
      <c r="H15" s="22"/>
      <c r="I15" s="8"/>
      <c r="J15" s="7">
        <f t="shared" ref="J15:J17" si="5">SUM(E15:I15)</f>
        <v>387266.37</v>
      </c>
      <c r="K15" s="9">
        <v>0.98559895094981564</v>
      </c>
    </row>
    <row r="16" spans="1:11" x14ac:dyDescent="0.25">
      <c r="A16" s="40"/>
      <c r="B16" s="45"/>
      <c r="C16" s="6" t="s">
        <v>13</v>
      </c>
      <c r="D16" s="7">
        <v>100000</v>
      </c>
      <c r="E16" s="21"/>
      <c r="F16" s="22">
        <v>99977.11</v>
      </c>
      <c r="H16" s="22"/>
      <c r="I16" s="8"/>
      <c r="J16" s="7">
        <f t="shared" si="5"/>
        <v>99977.11</v>
      </c>
      <c r="K16" s="9">
        <v>1</v>
      </c>
    </row>
    <row r="17" spans="1:11" x14ac:dyDescent="0.25">
      <c r="A17" s="40"/>
      <c r="B17" s="45"/>
      <c r="C17" s="6" t="s">
        <v>14</v>
      </c>
      <c r="D17" s="31">
        <v>80000</v>
      </c>
      <c r="E17" s="21"/>
      <c r="F17" s="22">
        <v>0</v>
      </c>
      <c r="G17" s="21">
        <v>79602.53</v>
      </c>
      <c r="H17" s="8"/>
      <c r="I17" s="8"/>
      <c r="J17" s="7">
        <f t="shared" si="5"/>
        <v>79602.53</v>
      </c>
      <c r="K17" s="9">
        <v>1</v>
      </c>
    </row>
    <row r="18" spans="1:11" x14ac:dyDescent="0.25">
      <c r="A18" s="40"/>
      <c r="B18" s="45"/>
      <c r="C18" s="6" t="s">
        <v>15</v>
      </c>
      <c r="D18" s="7">
        <f>135000+31273.48+104.73+7558.31</f>
        <v>173936.52000000002</v>
      </c>
      <c r="E18" s="21"/>
      <c r="F18" s="8">
        <v>134995.99</v>
      </c>
      <c r="G18" s="26">
        <v>0</v>
      </c>
      <c r="H18" s="8"/>
      <c r="I18" s="8"/>
      <c r="J18" s="7">
        <f>SUM(E18:I18)</f>
        <v>134995.99</v>
      </c>
      <c r="K18" s="9">
        <v>0.69546445898428799</v>
      </c>
    </row>
    <row r="19" spans="1:11" x14ac:dyDescent="0.25">
      <c r="A19" s="37" t="s">
        <v>16</v>
      </c>
      <c r="B19" s="38"/>
      <c r="C19" s="39"/>
      <c r="D19" s="10">
        <f>SUM(D14:D18)</f>
        <v>1141842.92</v>
      </c>
      <c r="E19" s="10">
        <f t="shared" ref="E19:I19" si="6">SUM(E14:E18)</f>
        <v>0</v>
      </c>
      <c r="F19" s="10">
        <f t="shared" si="6"/>
        <v>868620.74</v>
      </c>
      <c r="G19" s="10">
        <f>SUM(G15:G18)</f>
        <v>227467.66</v>
      </c>
      <c r="H19" s="10">
        <f t="shared" si="6"/>
        <v>0</v>
      </c>
      <c r="I19" s="10">
        <f t="shared" si="6"/>
        <v>0</v>
      </c>
      <c r="J19" s="10">
        <f>SUM(J14:J18)</f>
        <v>1096088.3999999999</v>
      </c>
      <c r="K19" s="11">
        <v>0.98578384922191697</v>
      </c>
    </row>
    <row r="20" spans="1:11" x14ac:dyDescent="0.25">
      <c r="A20" s="40">
        <v>4</v>
      </c>
      <c r="B20" s="41" t="s">
        <v>19</v>
      </c>
      <c r="C20" s="6" t="s">
        <v>11</v>
      </c>
      <c r="D20" s="7">
        <v>12979.02</v>
      </c>
      <c r="E20" s="8"/>
      <c r="F20" s="8">
        <v>12979.02</v>
      </c>
      <c r="G20" s="8"/>
      <c r="H20" s="8"/>
      <c r="I20" s="8"/>
      <c r="J20" s="7">
        <f>SUM(E20:I20)</f>
        <v>12979.02</v>
      </c>
      <c r="K20" s="9">
        <v>1</v>
      </c>
    </row>
    <row r="21" spans="1:11" x14ac:dyDescent="0.25">
      <c r="A21" s="40"/>
      <c r="B21" s="42"/>
      <c r="C21" s="6" t="s">
        <v>12</v>
      </c>
      <c r="D21" s="7">
        <v>5800</v>
      </c>
      <c r="E21" s="8"/>
      <c r="F21" s="8">
        <v>3622.59</v>
      </c>
      <c r="G21" s="8"/>
      <c r="H21" s="8"/>
      <c r="I21" s="8"/>
      <c r="J21" s="7">
        <f t="shared" ref="J21:J30" si="7">SUM(E21:I21)</f>
        <v>3622.59</v>
      </c>
      <c r="K21" s="9">
        <v>0.99593799999999988</v>
      </c>
    </row>
    <row r="22" spans="1:11" x14ac:dyDescent="0.25">
      <c r="A22" s="40"/>
      <c r="B22" s="42"/>
      <c r="C22" s="6" t="s">
        <v>13</v>
      </c>
      <c r="D22" s="7">
        <v>0</v>
      </c>
      <c r="E22" s="8"/>
      <c r="F22" s="8">
        <v>0</v>
      </c>
      <c r="G22" s="8"/>
      <c r="H22" s="8"/>
      <c r="I22" s="8"/>
      <c r="J22" s="7">
        <f t="shared" si="7"/>
        <v>0</v>
      </c>
      <c r="K22" s="9" t="e">
        <v>#DIV/0!</v>
      </c>
    </row>
    <row r="23" spans="1:11" x14ac:dyDescent="0.25">
      <c r="A23" s="40"/>
      <c r="B23" s="42"/>
      <c r="C23" s="6" t="s">
        <v>14</v>
      </c>
      <c r="D23" s="31">
        <f>10000+10000</f>
        <v>20000</v>
      </c>
      <c r="E23" s="8"/>
      <c r="F23" s="8">
        <v>0</v>
      </c>
      <c r="G23" s="8">
        <f>9750+9400</f>
        <v>19150</v>
      </c>
      <c r="H23" s="8"/>
      <c r="I23" s="8"/>
      <c r="J23" s="7">
        <f t="shared" si="7"/>
        <v>19150</v>
      </c>
      <c r="K23" s="9">
        <v>0.94285714285714284</v>
      </c>
    </row>
    <row r="24" spans="1:11" x14ac:dyDescent="0.25">
      <c r="A24" s="40"/>
      <c r="B24" s="43"/>
      <c r="C24" s="6" t="s">
        <v>15</v>
      </c>
      <c r="D24" s="7">
        <v>0</v>
      </c>
      <c r="E24" s="8"/>
      <c r="F24" s="8">
        <v>0</v>
      </c>
      <c r="G24" s="8"/>
      <c r="H24" s="8"/>
      <c r="I24" s="8"/>
      <c r="J24" s="7">
        <f t="shared" si="7"/>
        <v>0</v>
      </c>
      <c r="K24" s="9" t="e">
        <v>#DIV/0!</v>
      </c>
    </row>
    <row r="25" spans="1:11" x14ac:dyDescent="0.25">
      <c r="A25" s="37" t="s">
        <v>16</v>
      </c>
      <c r="B25" s="38"/>
      <c r="C25" s="39"/>
      <c r="D25" s="10">
        <f>SUM(D20:D24)</f>
        <v>38779.020000000004</v>
      </c>
      <c r="E25" s="10">
        <f t="shared" ref="E25:I25" si="8">SUM(E20:E24)</f>
        <v>0</v>
      </c>
      <c r="F25" s="10">
        <f t="shared" si="8"/>
        <v>16601.61</v>
      </c>
      <c r="G25" s="10">
        <f t="shared" si="8"/>
        <v>19150</v>
      </c>
      <c r="H25" s="10">
        <f t="shared" si="8"/>
        <v>0</v>
      </c>
      <c r="I25" s="10">
        <f t="shared" si="8"/>
        <v>0</v>
      </c>
      <c r="J25" s="10">
        <f>SUM(J20:J24)</f>
        <v>35751.61</v>
      </c>
      <c r="K25" s="11">
        <v>0.98953873271037085</v>
      </c>
    </row>
    <row r="26" spans="1:11" x14ac:dyDescent="0.25">
      <c r="A26" s="40">
        <v>5</v>
      </c>
      <c r="B26" s="44" t="s">
        <v>20</v>
      </c>
      <c r="C26" s="6" t="s">
        <v>11</v>
      </c>
      <c r="D26" s="7">
        <v>53900</v>
      </c>
      <c r="E26" s="8"/>
      <c r="F26" s="20">
        <v>38243.46</v>
      </c>
      <c r="G26" s="8"/>
      <c r="H26" s="8"/>
      <c r="I26" s="8"/>
      <c r="J26" s="7">
        <f t="shared" si="7"/>
        <v>38243.46</v>
      </c>
      <c r="K26" s="9">
        <v>0.98419503820842846</v>
      </c>
    </row>
    <row r="27" spans="1:11" x14ac:dyDescent="0.25">
      <c r="A27" s="40"/>
      <c r="B27" s="44"/>
      <c r="C27" s="6" t="s">
        <v>12</v>
      </c>
      <c r="D27" s="7">
        <v>5800</v>
      </c>
      <c r="E27" s="8"/>
      <c r="F27" s="20">
        <v>4268.8900000000003</v>
      </c>
      <c r="G27" s="8"/>
      <c r="H27" s="8"/>
      <c r="I27" s="8"/>
      <c r="J27" s="7">
        <f t="shared" si="7"/>
        <v>4268.8900000000003</v>
      </c>
      <c r="K27" s="9">
        <v>1</v>
      </c>
    </row>
    <row r="28" spans="1:11" x14ac:dyDescent="0.25">
      <c r="A28" s="40"/>
      <c r="B28" s="44"/>
      <c r="C28" s="6" t="s">
        <v>13</v>
      </c>
      <c r="D28" s="7">
        <v>0</v>
      </c>
      <c r="E28" s="8"/>
      <c r="F28" s="8"/>
      <c r="G28" s="8"/>
      <c r="H28" s="8"/>
      <c r="I28" s="8"/>
      <c r="J28" s="7">
        <f t="shared" si="7"/>
        <v>0</v>
      </c>
      <c r="K28" s="9" t="e">
        <v>#DIV/0!</v>
      </c>
    </row>
    <row r="29" spans="1:11" x14ac:dyDescent="0.25">
      <c r="A29" s="40"/>
      <c r="B29" s="44"/>
      <c r="C29" s="6" t="s">
        <v>14</v>
      </c>
      <c r="D29" s="7">
        <f>100000+57008.8</f>
        <v>157008.79999999999</v>
      </c>
      <c r="E29" s="8"/>
      <c r="F29" s="8"/>
      <c r="G29" s="8">
        <f>99490+56080</f>
        <v>155570</v>
      </c>
      <c r="H29" s="8"/>
      <c r="I29" s="8"/>
      <c r="J29" s="7">
        <f t="shared" si="7"/>
        <v>155570</v>
      </c>
      <c r="K29" s="9">
        <v>0.99228947122133837</v>
      </c>
    </row>
    <row r="30" spans="1:11" x14ac:dyDescent="0.25">
      <c r="A30" s="40"/>
      <c r="B30" s="44"/>
      <c r="C30" s="6" t="s">
        <v>15</v>
      </c>
      <c r="D30" s="7">
        <v>0</v>
      </c>
      <c r="E30" s="8"/>
      <c r="F30" s="8"/>
      <c r="G30" s="8"/>
      <c r="H30" s="8"/>
      <c r="I30" s="8"/>
      <c r="J30" s="7">
        <f t="shared" si="7"/>
        <v>0</v>
      </c>
      <c r="K30" s="9" t="e">
        <v>#DIV/0!</v>
      </c>
    </row>
    <row r="31" spans="1:11" x14ac:dyDescent="0.25">
      <c r="A31" s="37" t="s">
        <v>16</v>
      </c>
      <c r="B31" s="38"/>
      <c r="C31" s="39"/>
      <c r="D31" s="10">
        <f>SUM(D26:D30)</f>
        <v>216708.8</v>
      </c>
      <c r="E31" s="10">
        <f t="shared" ref="E31:I31" si="9">SUM(E26:E30)</f>
        <v>0</v>
      </c>
      <c r="F31" s="10">
        <f t="shared" si="9"/>
        <v>42512.35</v>
      </c>
      <c r="G31" s="10">
        <f t="shared" si="9"/>
        <v>155570</v>
      </c>
      <c r="H31" s="10">
        <f t="shared" si="9"/>
        <v>0</v>
      </c>
      <c r="I31" s="10">
        <f t="shared" si="9"/>
        <v>0</v>
      </c>
      <c r="J31" s="10">
        <f>SUM(J26:J30)</f>
        <v>198082.35</v>
      </c>
      <c r="K31" s="11">
        <v>0.99126546327969933</v>
      </c>
    </row>
    <row r="32" spans="1:11" x14ac:dyDescent="0.25">
      <c r="A32" s="40">
        <v>6</v>
      </c>
      <c r="B32" s="45" t="s">
        <v>21</v>
      </c>
      <c r="C32" s="6" t="s">
        <v>11</v>
      </c>
      <c r="D32" s="7">
        <v>143000</v>
      </c>
      <c r="E32" s="8"/>
      <c r="F32" s="8">
        <v>117496.03</v>
      </c>
      <c r="G32" s="8"/>
      <c r="H32" s="8"/>
      <c r="I32" s="8"/>
      <c r="J32" s="7">
        <f>SUM(E32:I32)</f>
        <v>117496.03</v>
      </c>
      <c r="K32" s="9">
        <v>0.99496854171329774</v>
      </c>
    </row>
    <row r="33" spans="1:11" x14ac:dyDescent="0.25">
      <c r="A33" s="40"/>
      <c r="B33" s="45"/>
      <c r="C33" s="6" t="s">
        <v>12</v>
      </c>
      <c r="D33" s="7">
        <f>32450+100000</f>
        <v>132450</v>
      </c>
      <c r="E33" s="8"/>
      <c r="F33" s="8">
        <v>29979.59</v>
      </c>
      <c r="G33" s="8">
        <v>97344.54</v>
      </c>
      <c r="H33" s="8"/>
      <c r="I33" s="8"/>
      <c r="J33" s="7">
        <f t="shared" ref="J33:J36" si="10">SUM(E33:I33)</f>
        <v>127324.12999999999</v>
      </c>
      <c r="K33" s="9">
        <v>1</v>
      </c>
    </row>
    <row r="34" spans="1:11" x14ac:dyDescent="0.25">
      <c r="A34" s="40"/>
      <c r="B34" s="45"/>
      <c r="C34" s="6" t="s">
        <v>13</v>
      </c>
      <c r="D34" s="7"/>
      <c r="E34" s="8"/>
      <c r="F34" s="8"/>
      <c r="G34" s="8"/>
      <c r="H34" s="8"/>
      <c r="I34" s="8"/>
      <c r="J34" s="7">
        <f t="shared" si="10"/>
        <v>0</v>
      </c>
      <c r="K34" s="9" t="e">
        <v>#DIV/0!</v>
      </c>
    </row>
    <row r="35" spans="1:11" x14ac:dyDescent="0.25">
      <c r="A35" s="40"/>
      <c r="B35" s="45"/>
      <c r="C35" s="6" t="s">
        <v>14</v>
      </c>
      <c r="D35" s="7"/>
      <c r="E35" s="8"/>
      <c r="F35" s="8"/>
      <c r="G35" s="8"/>
      <c r="H35" s="8"/>
      <c r="I35" s="8"/>
      <c r="J35" s="7">
        <f t="shared" si="10"/>
        <v>0</v>
      </c>
      <c r="K35" s="9" t="e">
        <v>#DIV/0!</v>
      </c>
    </row>
    <row r="36" spans="1:11" x14ac:dyDescent="0.25">
      <c r="A36" s="40"/>
      <c r="B36" s="45"/>
      <c r="C36" s="6" t="s">
        <v>15</v>
      </c>
      <c r="D36" s="7">
        <v>0</v>
      </c>
      <c r="E36" s="8"/>
      <c r="F36" s="8"/>
      <c r="G36" s="8"/>
      <c r="H36" s="8"/>
      <c r="I36" s="8"/>
      <c r="J36" s="7">
        <f t="shared" si="10"/>
        <v>0</v>
      </c>
      <c r="K36" s="9" t="e">
        <v>#DIV/0!</v>
      </c>
    </row>
    <row r="37" spans="1:11" x14ac:dyDescent="0.25">
      <c r="A37" s="37" t="s">
        <v>16</v>
      </c>
      <c r="B37" s="38"/>
      <c r="C37" s="39"/>
      <c r="D37" s="10">
        <f>SUM(D32:D36)</f>
        <v>275450</v>
      </c>
      <c r="E37" s="10">
        <f t="shared" ref="E37:J37" si="11">SUM(E32:E36)</f>
        <v>0</v>
      </c>
      <c r="F37" s="10">
        <f t="shared" si="11"/>
        <v>147475.62</v>
      </c>
      <c r="G37" s="10">
        <f t="shared" si="11"/>
        <v>97344.54</v>
      </c>
      <c r="H37" s="10">
        <f t="shared" si="11"/>
        <v>0</v>
      </c>
      <c r="I37" s="10">
        <f t="shared" si="11"/>
        <v>0</v>
      </c>
      <c r="J37" s="10">
        <f t="shared" si="11"/>
        <v>244820.15999999997</v>
      </c>
      <c r="K37" s="11">
        <v>0.99599407868449397</v>
      </c>
    </row>
    <row r="38" spans="1:11" x14ac:dyDescent="0.25">
      <c r="A38" s="40">
        <v>7</v>
      </c>
      <c r="B38" s="45" t="s">
        <v>22</v>
      </c>
      <c r="C38" s="6" t="s">
        <v>11</v>
      </c>
      <c r="D38" s="7">
        <v>43000</v>
      </c>
      <c r="E38" s="8"/>
      <c r="F38" s="8">
        <v>27803.64</v>
      </c>
      <c r="G38" s="8"/>
      <c r="H38" s="8"/>
      <c r="I38" s="8"/>
      <c r="J38" s="7">
        <f>SUM(E38:I38)</f>
        <v>27803.64</v>
      </c>
      <c r="K38" s="9">
        <v>0.97988084909669204</v>
      </c>
    </row>
    <row r="39" spans="1:11" x14ac:dyDescent="0.25">
      <c r="A39" s="40"/>
      <c r="B39" s="45"/>
      <c r="C39" s="6" t="s">
        <v>12</v>
      </c>
      <c r="D39" s="7">
        <v>6900</v>
      </c>
      <c r="E39" s="8"/>
      <c r="F39" s="8">
        <v>6885.64</v>
      </c>
      <c r="G39" s="8"/>
      <c r="H39" s="8"/>
      <c r="I39" s="8"/>
      <c r="J39" s="7">
        <f t="shared" ref="J39:J41" si="12">SUM(E39:I39)</f>
        <v>6885.64</v>
      </c>
      <c r="K39" s="9">
        <v>0.98399999999999999</v>
      </c>
    </row>
    <row r="40" spans="1:11" x14ac:dyDescent="0.25">
      <c r="A40" s="40"/>
      <c r="B40" s="45"/>
      <c r="C40" s="6" t="s">
        <v>13</v>
      </c>
      <c r="D40" s="7"/>
      <c r="E40" s="8"/>
      <c r="F40" s="8"/>
      <c r="G40" s="8"/>
      <c r="H40" s="8"/>
      <c r="I40" s="8"/>
      <c r="J40" s="7">
        <f t="shared" si="12"/>
        <v>0</v>
      </c>
      <c r="K40" s="9" t="e">
        <v>#DIV/0!</v>
      </c>
    </row>
    <row r="41" spans="1:11" x14ac:dyDescent="0.25">
      <c r="A41" s="40"/>
      <c r="B41" s="45"/>
      <c r="C41" s="6" t="s">
        <v>14</v>
      </c>
      <c r="D41" s="7"/>
      <c r="E41" s="8"/>
      <c r="F41" s="8"/>
      <c r="G41" s="8"/>
      <c r="H41" s="8"/>
      <c r="I41" s="8"/>
      <c r="J41" s="7">
        <f t="shared" si="12"/>
        <v>0</v>
      </c>
      <c r="K41" s="9" t="e">
        <v>#DIV/0!</v>
      </c>
    </row>
    <row r="42" spans="1:11" x14ac:dyDescent="0.25">
      <c r="A42" s="40"/>
      <c r="B42" s="45"/>
      <c r="C42" s="6" t="s">
        <v>15</v>
      </c>
      <c r="D42" s="7"/>
      <c r="E42" s="8"/>
      <c r="F42" s="8"/>
      <c r="G42" s="8"/>
      <c r="H42" s="8"/>
      <c r="I42" s="8"/>
      <c r="J42" s="7">
        <v>0</v>
      </c>
      <c r="K42" s="9" t="e">
        <v>#DIV/0!</v>
      </c>
    </row>
    <row r="43" spans="1:11" x14ac:dyDescent="0.25">
      <c r="A43" s="37" t="s">
        <v>16</v>
      </c>
      <c r="B43" s="38"/>
      <c r="C43" s="39"/>
      <c r="D43" s="10">
        <f>SUM(D38:D42)</f>
        <v>49900</v>
      </c>
      <c r="E43" s="10">
        <f t="shared" ref="E43:J43" si="13">SUM(E38:E42)</f>
        <v>0</v>
      </c>
      <c r="F43" s="10">
        <f t="shared" si="13"/>
        <v>34689.279999999999</v>
      </c>
      <c r="G43" s="10">
        <f t="shared" si="13"/>
        <v>0</v>
      </c>
      <c r="H43" s="10">
        <f t="shared" si="13"/>
        <v>0</v>
      </c>
      <c r="I43" s="10">
        <f t="shared" si="13"/>
        <v>0</v>
      </c>
      <c r="J43" s="10">
        <f t="shared" si="13"/>
        <v>34689.279999999999</v>
      </c>
      <c r="K43" s="11">
        <v>0.98089608656601346</v>
      </c>
    </row>
    <row r="44" spans="1:11" x14ac:dyDescent="0.25">
      <c r="A44" s="40">
        <v>8</v>
      </c>
      <c r="B44" s="44" t="s">
        <v>23</v>
      </c>
      <c r="C44" s="6" t="s">
        <v>11</v>
      </c>
      <c r="D44" s="7">
        <v>155979.01</v>
      </c>
      <c r="E44" s="8"/>
      <c r="F44" s="8">
        <v>155979.01</v>
      </c>
      <c r="G44" s="8"/>
      <c r="H44" s="8"/>
      <c r="I44" s="8"/>
      <c r="J44" s="7">
        <f>SUM(E44:I44)</f>
        <v>155979.01</v>
      </c>
      <c r="K44" s="9">
        <v>1</v>
      </c>
    </row>
    <row r="45" spans="1:11" x14ac:dyDescent="0.25">
      <c r="A45" s="40"/>
      <c r="B45" s="44"/>
      <c r="C45" s="6" t="s">
        <v>12</v>
      </c>
      <c r="D45" s="7">
        <v>11000</v>
      </c>
      <c r="E45" s="8"/>
      <c r="F45" s="8">
        <v>9903.9599999999991</v>
      </c>
      <c r="G45" s="8"/>
      <c r="H45" s="8"/>
      <c r="I45" s="8"/>
      <c r="J45" s="7">
        <f t="shared" ref="J45:J48" si="14">SUM(E45:I45)</f>
        <v>9903.9599999999991</v>
      </c>
      <c r="K45" s="9">
        <v>0.92363820224719095</v>
      </c>
    </row>
    <row r="46" spans="1:11" x14ac:dyDescent="0.25">
      <c r="A46" s="40"/>
      <c r="B46" s="44"/>
      <c r="C46" s="6" t="s">
        <v>13</v>
      </c>
      <c r="D46" s="7"/>
      <c r="E46" s="8"/>
      <c r="F46" s="8"/>
      <c r="G46" s="8"/>
      <c r="H46" s="8"/>
      <c r="I46" s="8"/>
      <c r="J46" s="7">
        <f t="shared" si="14"/>
        <v>0</v>
      </c>
      <c r="K46" s="9" t="e">
        <v>#DIV/0!</v>
      </c>
    </row>
    <row r="47" spans="1:11" x14ac:dyDescent="0.25">
      <c r="A47" s="40"/>
      <c r="B47" s="44"/>
      <c r="C47" s="6" t="s">
        <v>14</v>
      </c>
      <c r="D47" s="7">
        <v>20000</v>
      </c>
      <c r="E47" s="8"/>
      <c r="F47" s="8"/>
      <c r="G47" s="8">
        <v>15000</v>
      </c>
      <c r="H47" s="8"/>
      <c r="I47" s="8"/>
      <c r="J47" s="7">
        <f t="shared" si="14"/>
        <v>15000</v>
      </c>
      <c r="K47" s="9">
        <v>0.99461849999999996</v>
      </c>
    </row>
    <row r="48" spans="1:11" x14ac:dyDescent="0.25">
      <c r="A48" s="40"/>
      <c r="B48" s="44"/>
      <c r="C48" s="6" t="s">
        <v>15</v>
      </c>
      <c r="D48" s="7">
        <v>45000</v>
      </c>
      <c r="E48" s="8"/>
      <c r="F48" s="8">
        <v>44670.2</v>
      </c>
      <c r="G48" s="8"/>
      <c r="H48" s="8"/>
      <c r="I48" s="8"/>
      <c r="J48" s="7">
        <f t="shared" si="14"/>
        <v>44670.2</v>
      </c>
      <c r="K48" s="9" t="e">
        <v>#DIV/0!</v>
      </c>
    </row>
    <row r="49" spans="1:11" x14ac:dyDescent="0.25">
      <c r="A49" s="37" t="s">
        <v>16</v>
      </c>
      <c r="B49" s="38"/>
      <c r="C49" s="39"/>
      <c r="D49" s="10">
        <f>SUM(D44:D48)</f>
        <v>231979.01</v>
      </c>
      <c r="E49" s="10">
        <f t="shared" ref="E49:J49" si="15">SUM(E44:E48)</f>
        <v>0</v>
      </c>
      <c r="F49" s="10">
        <f t="shared" si="15"/>
        <v>210553.16999999998</v>
      </c>
      <c r="G49" s="10">
        <f t="shared" si="15"/>
        <v>15000</v>
      </c>
      <c r="H49" s="10">
        <f t="shared" si="15"/>
        <v>0</v>
      </c>
      <c r="I49" s="10">
        <f t="shared" si="15"/>
        <v>0</v>
      </c>
      <c r="J49" s="10">
        <f t="shared" si="15"/>
        <v>225553.16999999998</v>
      </c>
      <c r="K49" s="11">
        <v>0.99107583064793636</v>
      </c>
    </row>
    <row r="50" spans="1:11" x14ac:dyDescent="0.25">
      <c r="A50" s="40">
        <v>9</v>
      </c>
      <c r="B50" s="44" t="s">
        <v>44</v>
      </c>
      <c r="C50" s="6" t="s">
        <v>11</v>
      </c>
      <c r="D50" s="23">
        <v>182000</v>
      </c>
      <c r="E50" s="22"/>
      <c r="F50" s="8">
        <v>171982.75</v>
      </c>
      <c r="G50" s="8"/>
      <c r="H50" s="8"/>
      <c r="I50" s="8"/>
      <c r="J50" s="7">
        <f>SUM(E50:I50)</f>
        <v>171982.75</v>
      </c>
      <c r="K50" s="9">
        <v>0.99547765501246888</v>
      </c>
    </row>
    <row r="51" spans="1:11" x14ac:dyDescent="0.25">
      <c r="A51" s="40"/>
      <c r="B51" s="44"/>
      <c r="C51" s="6" t="s">
        <v>12</v>
      </c>
      <c r="D51" s="23">
        <f>35721+20579+10.94</f>
        <v>56310.94</v>
      </c>
      <c r="E51" s="22"/>
      <c r="F51" s="8">
        <v>35352.959999999999</v>
      </c>
      <c r="G51" s="8">
        <v>20263.169999999998</v>
      </c>
      <c r="H51" s="8"/>
      <c r="I51" s="8"/>
      <c r="J51" s="7">
        <f t="shared" ref="J51:J54" si="16">SUM(E51:I51)</f>
        <v>55616.13</v>
      </c>
      <c r="K51" s="9">
        <v>0.99310326866773679</v>
      </c>
    </row>
    <row r="52" spans="1:11" x14ac:dyDescent="0.25">
      <c r="A52" s="40"/>
      <c r="B52" s="44"/>
      <c r="C52" s="6" t="s">
        <v>13</v>
      </c>
      <c r="D52" s="7">
        <v>0</v>
      </c>
      <c r="E52" s="8"/>
      <c r="G52" s="8"/>
      <c r="H52" s="8"/>
      <c r="I52" s="8"/>
      <c r="J52" s="7">
        <f t="shared" si="16"/>
        <v>0</v>
      </c>
      <c r="K52" s="9" t="e">
        <v>#DIV/0!</v>
      </c>
    </row>
    <row r="53" spans="1:11" x14ac:dyDescent="0.25">
      <c r="A53" s="40"/>
      <c r="B53" s="44"/>
      <c r="C53" s="6" t="s">
        <v>14</v>
      </c>
      <c r="D53" s="7">
        <v>0</v>
      </c>
      <c r="E53" s="8"/>
      <c r="F53" s="8">
        <v>0</v>
      </c>
      <c r="G53" s="8"/>
      <c r="H53" s="8"/>
      <c r="I53" s="8"/>
      <c r="J53" s="7">
        <f t="shared" si="16"/>
        <v>0</v>
      </c>
      <c r="K53" s="9" t="e">
        <v>#DIV/0!</v>
      </c>
    </row>
    <row r="54" spans="1:11" x14ac:dyDescent="0.25">
      <c r="A54" s="40"/>
      <c r="B54" s="44"/>
      <c r="C54" s="6" t="s">
        <v>15</v>
      </c>
      <c r="D54" s="23">
        <f>814000+120572+500000+16.09</f>
        <v>1434588.09</v>
      </c>
      <c r="E54" s="22"/>
      <c r="F54" s="8">
        <v>814000</v>
      </c>
      <c r="G54" s="8">
        <f>120571.24+500000</f>
        <v>620571.24</v>
      </c>
      <c r="H54" s="8"/>
      <c r="I54" s="8"/>
      <c r="J54" s="7">
        <f t="shared" si="16"/>
        <v>1434571.24</v>
      </c>
      <c r="K54" s="9">
        <v>0.97572133021657959</v>
      </c>
    </row>
    <row r="55" spans="1:11" x14ac:dyDescent="0.25">
      <c r="A55" s="37" t="s">
        <v>16</v>
      </c>
      <c r="B55" s="38"/>
      <c r="C55" s="39"/>
      <c r="D55" s="10">
        <f>SUM(D50:D54)</f>
        <v>1672899.03</v>
      </c>
      <c r="E55" s="10">
        <f t="shared" ref="E55:J55" si="17">SUM(E50:E54)</f>
        <v>0</v>
      </c>
      <c r="F55" s="10">
        <f t="shared" si="17"/>
        <v>1021335.71</v>
      </c>
      <c r="G55" s="10">
        <f t="shared" si="17"/>
        <v>640834.41</v>
      </c>
      <c r="H55" s="10">
        <f t="shared" si="17"/>
        <v>0</v>
      </c>
      <c r="I55" s="10">
        <f t="shared" si="17"/>
        <v>0</v>
      </c>
      <c r="J55" s="10">
        <f t="shared" si="17"/>
        <v>1662170.12</v>
      </c>
      <c r="K55" s="11">
        <v>0.98587857539487955</v>
      </c>
    </row>
    <row r="56" spans="1:11" x14ac:dyDescent="0.25">
      <c r="A56" s="40">
        <v>10</v>
      </c>
      <c r="B56" s="44" t="s">
        <v>24</v>
      </c>
      <c r="C56" s="6" t="s">
        <v>11</v>
      </c>
      <c r="D56" s="23">
        <v>231800</v>
      </c>
      <c r="E56" s="22"/>
      <c r="F56" s="8">
        <v>215266.78</v>
      </c>
      <c r="G56" s="8"/>
      <c r="H56" s="8"/>
      <c r="I56" s="8"/>
      <c r="J56" s="7">
        <f>SUM(E56:I56)</f>
        <v>215266.78</v>
      </c>
      <c r="K56" s="9">
        <v>1</v>
      </c>
    </row>
    <row r="57" spans="1:11" x14ac:dyDescent="0.25">
      <c r="A57" s="40"/>
      <c r="B57" s="44"/>
      <c r="C57" s="6" t="s">
        <v>12</v>
      </c>
      <c r="D57" s="23">
        <v>68350</v>
      </c>
      <c r="E57" s="22"/>
      <c r="F57" s="8">
        <v>60763.87</v>
      </c>
      <c r="G57" s="8"/>
      <c r="H57" s="8"/>
      <c r="I57" s="8"/>
      <c r="J57" s="7">
        <f t="shared" ref="J57:J60" si="18">SUM(E57:I57)</f>
        <v>60763.87</v>
      </c>
      <c r="K57" s="9">
        <v>0.99956666666666671</v>
      </c>
    </row>
    <row r="58" spans="1:11" x14ac:dyDescent="0.25">
      <c r="A58" s="40"/>
      <c r="B58" s="44"/>
      <c r="C58" s="6" t="s">
        <v>13</v>
      </c>
      <c r="D58" s="23">
        <v>5000</v>
      </c>
      <c r="E58" s="22"/>
      <c r="F58" s="8">
        <v>5000</v>
      </c>
      <c r="G58" s="8"/>
      <c r="H58" s="8"/>
      <c r="I58" s="8"/>
      <c r="J58" s="7">
        <f t="shared" si="18"/>
        <v>5000</v>
      </c>
      <c r="K58" s="9">
        <v>0.97399999999999998</v>
      </c>
    </row>
    <row r="59" spans="1:11" x14ac:dyDescent="0.25">
      <c r="A59" s="40"/>
      <c r="B59" s="44"/>
      <c r="C59" s="6" t="s">
        <v>14</v>
      </c>
      <c r="D59" s="23">
        <v>0</v>
      </c>
      <c r="E59" s="22"/>
      <c r="F59" s="8">
        <v>0</v>
      </c>
      <c r="G59" s="8"/>
      <c r="H59" s="8"/>
      <c r="I59" s="8"/>
      <c r="J59" s="7">
        <f t="shared" si="18"/>
        <v>0</v>
      </c>
      <c r="K59" s="9" t="e">
        <v>#DIV/0!</v>
      </c>
    </row>
    <row r="60" spans="1:11" x14ac:dyDescent="0.25">
      <c r="A60" s="40"/>
      <c r="B60" s="44"/>
      <c r="C60" s="6" t="s">
        <v>15</v>
      </c>
      <c r="D60" s="23">
        <f>70000+20000</f>
        <v>90000</v>
      </c>
      <c r="E60" s="8"/>
      <c r="F60" s="8">
        <v>70000</v>
      </c>
      <c r="G60" s="8">
        <v>18989</v>
      </c>
      <c r="H60" s="8"/>
      <c r="I60" s="8"/>
      <c r="J60" s="7">
        <f t="shared" si="18"/>
        <v>88989</v>
      </c>
      <c r="K60" s="9" t="e">
        <v>#DIV/0!</v>
      </c>
    </row>
    <row r="61" spans="1:11" x14ac:dyDescent="0.25">
      <c r="A61" s="37" t="s">
        <v>16</v>
      </c>
      <c r="B61" s="38"/>
      <c r="C61" s="39"/>
      <c r="D61" s="10">
        <f>SUM(D56:D60)</f>
        <v>395150</v>
      </c>
      <c r="E61" s="10">
        <f t="shared" ref="E61:J61" si="19">SUM(E56:E60)</f>
        <v>0</v>
      </c>
      <c r="F61" s="10">
        <f t="shared" si="19"/>
        <v>351030.65</v>
      </c>
      <c r="G61" s="10">
        <f t="shared" si="19"/>
        <v>18989</v>
      </c>
      <c r="H61" s="10">
        <f t="shared" si="19"/>
        <v>0</v>
      </c>
      <c r="I61" s="10">
        <f t="shared" si="19"/>
        <v>0</v>
      </c>
      <c r="J61" s="10">
        <f t="shared" si="19"/>
        <v>370019.65</v>
      </c>
      <c r="K61" s="11">
        <v>0.99952531531462729</v>
      </c>
    </row>
    <row r="62" spans="1:11" x14ac:dyDescent="0.25">
      <c r="A62" s="40">
        <v>11</v>
      </c>
      <c r="B62" s="44" t="s">
        <v>25</v>
      </c>
      <c r="C62" s="6" t="s">
        <v>11</v>
      </c>
      <c r="D62" s="23">
        <v>33200</v>
      </c>
      <c r="E62" s="22"/>
      <c r="F62" s="8">
        <v>24013.58</v>
      </c>
      <c r="G62" s="8"/>
      <c r="H62" s="8"/>
      <c r="I62" s="8"/>
      <c r="J62" s="7">
        <f>SUM(E62:I62)</f>
        <v>24013.58</v>
      </c>
      <c r="K62" s="9">
        <v>0.97616207130391752</v>
      </c>
    </row>
    <row r="63" spans="1:11" x14ac:dyDescent="0.25">
      <c r="A63" s="40"/>
      <c r="B63" s="44"/>
      <c r="C63" s="6" t="s">
        <v>12</v>
      </c>
      <c r="D63" s="23">
        <f>30700+27000+50000</f>
        <v>107700</v>
      </c>
      <c r="E63" s="22"/>
      <c r="F63" s="8">
        <v>29944.45</v>
      </c>
      <c r="G63" s="8">
        <f>27000+49975.5</f>
        <v>76975.5</v>
      </c>
      <c r="H63" s="8"/>
      <c r="I63" s="8"/>
      <c r="J63" s="7">
        <f t="shared" ref="J63:J96" si="20">SUM(E63:I63)</f>
        <v>106919.95</v>
      </c>
      <c r="K63" s="9">
        <v>0.99959100000000001</v>
      </c>
    </row>
    <row r="64" spans="1:11" x14ac:dyDescent="0.25">
      <c r="A64" s="40"/>
      <c r="B64" s="44"/>
      <c r="C64" s="6" t="s">
        <v>13</v>
      </c>
      <c r="D64" s="23">
        <v>0</v>
      </c>
      <c r="E64" s="22"/>
      <c r="H64" s="8"/>
      <c r="I64" s="8"/>
      <c r="J64" s="7">
        <f t="shared" si="20"/>
        <v>0</v>
      </c>
      <c r="K64" s="9" t="e">
        <v>#DIV/0!</v>
      </c>
    </row>
    <row r="65" spans="1:11" x14ac:dyDescent="0.25">
      <c r="A65" s="40"/>
      <c r="B65" s="44"/>
      <c r="C65" s="6" t="s">
        <v>14</v>
      </c>
      <c r="D65" s="31">
        <v>5000</v>
      </c>
      <c r="E65" s="8"/>
      <c r="F65" s="8">
        <v>0</v>
      </c>
      <c r="G65" s="8">
        <v>5000</v>
      </c>
      <c r="H65" s="8"/>
      <c r="I65" s="8"/>
      <c r="J65" s="7">
        <f t="shared" si="20"/>
        <v>5000</v>
      </c>
      <c r="K65" s="9">
        <v>0.95</v>
      </c>
    </row>
    <row r="66" spans="1:11" x14ac:dyDescent="0.25">
      <c r="A66" s="40"/>
      <c r="B66" s="44"/>
      <c r="C66" s="6" t="s">
        <v>15</v>
      </c>
      <c r="D66" s="23">
        <v>40000</v>
      </c>
      <c r="E66" s="8"/>
      <c r="F66" s="8">
        <v>39999.9</v>
      </c>
      <c r="G66" s="8"/>
      <c r="H66" s="8"/>
      <c r="I66" s="8"/>
      <c r="J66" s="7">
        <f t="shared" si="20"/>
        <v>39999.9</v>
      </c>
      <c r="K66" s="9">
        <v>1</v>
      </c>
    </row>
    <row r="67" spans="1:11" x14ac:dyDescent="0.25">
      <c r="A67" s="37" t="s">
        <v>16</v>
      </c>
      <c r="B67" s="38"/>
      <c r="C67" s="39"/>
      <c r="D67" s="10">
        <f>SUM(D62:D66)</f>
        <v>185900</v>
      </c>
      <c r="E67" s="10">
        <f t="shared" ref="E67:J67" si="21">SUM(E62:E66)</f>
        <v>0</v>
      </c>
      <c r="F67" s="10">
        <f>SUM(F62:F66)</f>
        <v>93957.93</v>
      </c>
      <c r="G67" s="10">
        <f t="shared" si="21"/>
        <v>81975.5</v>
      </c>
      <c r="H67" s="10">
        <f t="shared" si="21"/>
        <v>0</v>
      </c>
      <c r="I67" s="10">
        <f t="shared" si="21"/>
        <v>0</v>
      </c>
      <c r="J67" s="10">
        <f t="shared" si="21"/>
        <v>175933.43</v>
      </c>
      <c r="K67" s="11">
        <v>0.98725207931413672</v>
      </c>
    </row>
    <row r="68" spans="1:11" x14ac:dyDescent="0.25">
      <c r="A68" s="40">
        <v>12</v>
      </c>
      <c r="B68" s="45" t="s">
        <v>26</v>
      </c>
      <c r="C68" s="6" t="s">
        <v>11</v>
      </c>
      <c r="D68" s="23">
        <v>38200</v>
      </c>
      <c r="E68" s="22"/>
      <c r="F68" s="8">
        <v>34783.9</v>
      </c>
      <c r="G68" s="8"/>
      <c r="H68" s="8"/>
      <c r="I68" s="8"/>
      <c r="J68" s="7">
        <f t="shared" si="20"/>
        <v>34783.9</v>
      </c>
      <c r="K68" s="9">
        <v>1</v>
      </c>
    </row>
    <row r="69" spans="1:11" x14ac:dyDescent="0.25">
      <c r="A69" s="40"/>
      <c r="B69" s="45"/>
      <c r="C69" s="6" t="s">
        <v>12</v>
      </c>
      <c r="D69" s="23">
        <v>5900</v>
      </c>
      <c r="E69" s="22"/>
      <c r="F69" s="8">
        <v>5491.2</v>
      </c>
      <c r="G69" s="8"/>
      <c r="H69" s="8"/>
      <c r="I69" s="8"/>
      <c r="J69" s="7">
        <f t="shared" si="20"/>
        <v>5491.2</v>
      </c>
      <c r="K69" s="9">
        <v>0.97359200000000001</v>
      </c>
    </row>
    <row r="70" spans="1:11" x14ac:dyDescent="0.25">
      <c r="A70" s="40"/>
      <c r="B70" s="45"/>
      <c r="C70" s="6" t="s">
        <v>13</v>
      </c>
      <c r="D70" s="7">
        <v>0</v>
      </c>
      <c r="E70" s="8"/>
      <c r="F70" s="8"/>
      <c r="G70" s="8"/>
      <c r="H70" s="8"/>
      <c r="I70" s="8"/>
      <c r="J70" s="7">
        <f t="shared" si="20"/>
        <v>0</v>
      </c>
      <c r="K70" s="9" t="e">
        <v>#DIV/0!</v>
      </c>
    </row>
    <row r="71" spans="1:11" x14ac:dyDescent="0.25">
      <c r="A71" s="40"/>
      <c r="B71" s="45"/>
      <c r="C71" s="6" t="s">
        <v>14</v>
      </c>
      <c r="D71" s="31">
        <v>13000</v>
      </c>
      <c r="E71" s="8"/>
      <c r="F71" s="8"/>
      <c r="G71" s="8">
        <v>12950</v>
      </c>
      <c r="H71" s="8"/>
      <c r="I71" s="8"/>
      <c r="J71" s="7">
        <f t="shared" si="20"/>
        <v>12950</v>
      </c>
      <c r="K71" s="9">
        <v>0.98815384615384616</v>
      </c>
    </row>
    <row r="72" spans="1:11" x14ac:dyDescent="0.25">
      <c r="A72" s="40"/>
      <c r="B72" s="45"/>
      <c r="C72" s="6" t="s">
        <v>15</v>
      </c>
      <c r="D72" s="7">
        <v>0</v>
      </c>
      <c r="E72" s="8"/>
      <c r="F72" s="8"/>
      <c r="G72" s="8"/>
      <c r="H72" s="8"/>
      <c r="I72" s="8"/>
      <c r="J72" s="7">
        <f t="shared" si="20"/>
        <v>0</v>
      </c>
      <c r="K72" s="9" t="e">
        <v>#DIV/0!</v>
      </c>
    </row>
    <row r="73" spans="1:11" x14ac:dyDescent="0.25">
      <c r="A73" s="37" t="s">
        <v>16</v>
      </c>
      <c r="B73" s="38"/>
      <c r="C73" s="39"/>
      <c r="D73" s="10">
        <f>SUM(D68:D72)</f>
        <v>57100</v>
      </c>
      <c r="E73" s="10">
        <f t="shared" ref="E73:J73" si="22">SUM(E68:E72)</f>
        <v>0</v>
      </c>
      <c r="F73" s="10">
        <f t="shared" si="22"/>
        <v>40275.1</v>
      </c>
      <c r="G73" s="10">
        <f>SUM(G68:G72)</f>
        <v>12950</v>
      </c>
      <c r="H73" s="10">
        <f t="shared" si="22"/>
        <v>0</v>
      </c>
      <c r="I73" s="10">
        <f t="shared" si="22"/>
        <v>0</v>
      </c>
      <c r="J73" s="10">
        <f t="shared" si="22"/>
        <v>53225.1</v>
      </c>
      <c r="K73" s="11">
        <v>0.99479986270648568</v>
      </c>
    </row>
    <row r="74" spans="1:11" x14ac:dyDescent="0.25">
      <c r="A74" s="40">
        <v>13</v>
      </c>
      <c r="B74" s="45" t="s">
        <v>27</v>
      </c>
      <c r="C74" s="6" t="s">
        <v>11</v>
      </c>
      <c r="D74" s="23">
        <v>52441.11</v>
      </c>
      <c r="E74" s="22"/>
      <c r="F74" s="8">
        <v>52441.11</v>
      </c>
      <c r="G74" s="8"/>
      <c r="H74" s="8"/>
      <c r="I74" s="8"/>
      <c r="J74" s="7">
        <f t="shared" si="20"/>
        <v>52441.11</v>
      </c>
      <c r="K74" s="9">
        <v>1</v>
      </c>
    </row>
    <row r="75" spans="1:11" x14ac:dyDescent="0.25">
      <c r="A75" s="40"/>
      <c r="B75" s="45"/>
      <c r="C75" s="6" t="s">
        <v>12</v>
      </c>
      <c r="D75" s="23">
        <v>17900</v>
      </c>
      <c r="E75" s="22"/>
      <c r="F75" s="8">
        <v>14718.72</v>
      </c>
      <c r="G75" s="8"/>
      <c r="H75" s="8"/>
      <c r="I75" s="8"/>
      <c r="J75" s="7">
        <f t="shared" si="20"/>
        <v>14718.72</v>
      </c>
      <c r="K75" s="9">
        <v>0.97352131147540977</v>
      </c>
    </row>
    <row r="76" spans="1:11" x14ac:dyDescent="0.25">
      <c r="A76" s="40"/>
      <c r="B76" s="45"/>
      <c r="C76" s="6" t="s">
        <v>13</v>
      </c>
      <c r="D76" s="7"/>
      <c r="E76" s="8"/>
      <c r="F76" s="8"/>
      <c r="G76" s="8"/>
      <c r="H76" s="8"/>
      <c r="I76" s="8"/>
      <c r="J76" s="7">
        <f t="shared" si="20"/>
        <v>0</v>
      </c>
      <c r="K76" s="9" t="e">
        <v>#DIV/0!</v>
      </c>
    </row>
    <row r="77" spans="1:11" x14ac:dyDescent="0.25">
      <c r="A77" s="40"/>
      <c r="B77" s="45"/>
      <c r="C77" s="6" t="s">
        <v>14</v>
      </c>
      <c r="D77" s="7">
        <f>135000+55000+15231.8</f>
        <v>205231.8</v>
      </c>
      <c r="E77" s="8"/>
      <c r="F77" s="8"/>
      <c r="G77" s="8">
        <f>122084.6+54370</f>
        <v>176454.6</v>
      </c>
      <c r="H77" s="8">
        <v>9296.9500000000007</v>
      </c>
      <c r="I77" s="8"/>
      <c r="J77" s="7">
        <f t="shared" si="20"/>
        <v>185751.55000000002</v>
      </c>
      <c r="K77" s="9">
        <v>0.93477472609609058</v>
      </c>
    </row>
    <row r="78" spans="1:11" x14ac:dyDescent="0.25">
      <c r="A78" s="40"/>
      <c r="B78" s="45"/>
      <c r="C78" s="6" t="s">
        <v>15</v>
      </c>
      <c r="D78" s="7"/>
      <c r="E78" s="8"/>
      <c r="F78" s="8"/>
      <c r="G78" s="8"/>
      <c r="H78" s="8"/>
      <c r="I78" s="8"/>
      <c r="J78" s="7">
        <f t="shared" si="20"/>
        <v>0</v>
      </c>
      <c r="K78" s="9">
        <v>0</v>
      </c>
    </row>
    <row r="79" spans="1:11" x14ac:dyDescent="0.25">
      <c r="A79" s="37" t="s">
        <v>16</v>
      </c>
      <c r="B79" s="38"/>
      <c r="C79" s="39"/>
      <c r="D79" s="10">
        <f>SUM(D74:D78)</f>
        <v>275572.90999999997</v>
      </c>
      <c r="E79" s="10">
        <f t="shared" ref="E79:I79" si="23">SUM(E74:E78)</f>
        <v>0</v>
      </c>
      <c r="F79" s="10">
        <f t="shared" si="23"/>
        <v>67159.83</v>
      </c>
      <c r="G79" s="10">
        <f t="shared" si="23"/>
        <v>176454.6</v>
      </c>
      <c r="H79" s="10">
        <f t="shared" si="23"/>
        <v>9296.9500000000007</v>
      </c>
      <c r="I79" s="10">
        <f t="shared" si="23"/>
        <v>0</v>
      </c>
      <c r="J79" s="10">
        <f>SUM(J74:J78)</f>
        <v>252911.38</v>
      </c>
      <c r="K79" s="11">
        <v>0.95324171480989939</v>
      </c>
    </row>
    <row r="80" spans="1:11" x14ac:dyDescent="0.25">
      <c r="A80" s="40">
        <v>14</v>
      </c>
      <c r="B80" s="44" t="s">
        <v>28</v>
      </c>
      <c r="C80" s="6" t="s">
        <v>11</v>
      </c>
      <c r="D80" s="23">
        <v>68634.05</v>
      </c>
      <c r="E80" s="22"/>
      <c r="F80" s="8">
        <v>68634.05</v>
      </c>
      <c r="G80" s="8"/>
      <c r="H80" s="8"/>
      <c r="I80" s="8"/>
      <c r="J80" s="7">
        <f t="shared" si="20"/>
        <v>68634.05</v>
      </c>
      <c r="K80" s="9">
        <v>0.98923084621778234</v>
      </c>
    </row>
    <row r="81" spans="1:13" x14ac:dyDescent="0.25">
      <c r="A81" s="40"/>
      <c r="B81" s="44"/>
      <c r="C81" s="6" t="s">
        <v>12</v>
      </c>
      <c r="D81" s="23">
        <f>3000+425000</f>
        <v>428000</v>
      </c>
      <c r="E81" s="22"/>
      <c r="F81" s="8">
        <v>2565.5</v>
      </c>
      <c r="G81" s="8">
        <v>424678.91</v>
      </c>
      <c r="H81" s="8"/>
      <c r="I81" s="8"/>
      <c r="J81" s="7">
        <f t="shared" si="20"/>
        <v>427244.41</v>
      </c>
      <c r="K81" s="9">
        <v>0.99836946564885498</v>
      </c>
      <c r="L81" s="1"/>
      <c r="M81" s="1"/>
    </row>
    <row r="82" spans="1:13" x14ac:dyDescent="0.25">
      <c r="A82" s="40"/>
      <c r="B82" s="44"/>
      <c r="C82" s="6" t="s">
        <v>13</v>
      </c>
      <c r="E82" s="22"/>
      <c r="G82" s="8"/>
      <c r="H82" s="8"/>
      <c r="I82" s="8"/>
      <c r="J82" s="7">
        <f t="shared" si="20"/>
        <v>0</v>
      </c>
      <c r="K82" s="9" t="e">
        <v>#DIV/0!</v>
      </c>
      <c r="L82" s="1"/>
      <c r="M82" s="1"/>
    </row>
    <row r="83" spans="1:13" x14ac:dyDescent="0.25">
      <c r="A83" s="40"/>
      <c r="B83" s="44"/>
      <c r="C83" s="6" t="s">
        <v>14</v>
      </c>
      <c r="D83" s="7">
        <v>0</v>
      </c>
      <c r="E83" s="8"/>
      <c r="F83" s="8"/>
      <c r="G83" s="8"/>
      <c r="H83" s="8"/>
      <c r="I83" s="8"/>
      <c r="J83" s="7">
        <f t="shared" si="20"/>
        <v>0</v>
      </c>
      <c r="K83" s="9" t="e">
        <v>#DIV/0!</v>
      </c>
      <c r="L83" s="1"/>
      <c r="M83" s="1"/>
    </row>
    <row r="84" spans="1:13" x14ac:dyDescent="0.25">
      <c r="A84" s="40"/>
      <c r="B84" s="44"/>
      <c r="C84" s="6" t="s">
        <v>15</v>
      </c>
      <c r="D84" s="23">
        <v>20000</v>
      </c>
      <c r="E84" s="8"/>
      <c r="F84" s="8">
        <v>16673.900000000001</v>
      </c>
      <c r="G84" s="8"/>
      <c r="H84" s="8"/>
      <c r="I84" s="8"/>
      <c r="J84" s="7">
        <f t="shared" si="20"/>
        <v>16673.900000000001</v>
      </c>
      <c r="K84" s="9" t="e">
        <v>#DIV/0!</v>
      </c>
      <c r="L84" s="1"/>
      <c r="M84" s="1"/>
    </row>
    <row r="85" spans="1:13" x14ac:dyDescent="0.25">
      <c r="A85" s="37" t="s">
        <v>16</v>
      </c>
      <c r="B85" s="38"/>
      <c r="C85" s="39"/>
      <c r="D85" s="10">
        <f>SUM(D80:D84)</f>
        <v>516634.05</v>
      </c>
      <c r="E85" s="10">
        <f t="shared" ref="E85:F85" si="24">SUM(E80:E84)</f>
        <v>0</v>
      </c>
      <c r="F85" s="10">
        <f t="shared" si="24"/>
        <v>87873.450000000012</v>
      </c>
      <c r="G85" s="10">
        <f t="shared" ref="G85" si="25">SUM(G80:G84)</f>
        <v>424678.91</v>
      </c>
      <c r="H85" s="10">
        <f t="shared" ref="H85" si="26">SUM(H80:H84)</f>
        <v>0</v>
      </c>
      <c r="I85" s="10">
        <f t="shared" ref="I85:J85" si="27">SUM(I80:I84)</f>
        <v>0</v>
      </c>
      <c r="J85" s="10">
        <f t="shared" si="27"/>
        <v>512552.36</v>
      </c>
      <c r="K85" s="11">
        <v>0.99704614147538084</v>
      </c>
      <c r="L85" s="1"/>
      <c r="M85" s="1"/>
    </row>
    <row r="86" spans="1:13" x14ac:dyDescent="0.25">
      <c r="A86" s="40">
        <v>15</v>
      </c>
      <c r="B86" s="41" t="s">
        <v>29</v>
      </c>
      <c r="C86" s="6" t="s">
        <v>11</v>
      </c>
      <c r="D86" s="23">
        <v>76000</v>
      </c>
      <c r="E86" s="22"/>
      <c r="F86" s="8">
        <v>64914.74</v>
      </c>
      <c r="G86" s="8"/>
      <c r="H86" s="8"/>
      <c r="I86" s="8"/>
      <c r="J86" s="7">
        <f t="shared" si="20"/>
        <v>64914.74</v>
      </c>
      <c r="K86" s="9">
        <v>1</v>
      </c>
      <c r="L86" s="1"/>
      <c r="M86" s="19"/>
    </row>
    <row r="87" spans="1:13" x14ac:dyDescent="0.25">
      <c r="A87" s="40"/>
      <c r="B87" s="42"/>
      <c r="C87" s="6" t="s">
        <v>12</v>
      </c>
      <c r="D87" s="23">
        <f>490000+150000+13075+6</f>
        <v>653081</v>
      </c>
      <c r="E87" s="22"/>
      <c r="F87" s="8">
        <v>489348.43</v>
      </c>
      <c r="G87" s="8">
        <v>149932.73000000001</v>
      </c>
      <c r="H87" s="8"/>
      <c r="I87" s="8"/>
      <c r="J87" s="7">
        <f t="shared" si="20"/>
        <v>639281.16</v>
      </c>
      <c r="K87" s="9">
        <v>0.95469659553568575</v>
      </c>
      <c r="L87" s="1"/>
      <c r="M87" s="19"/>
    </row>
    <row r="88" spans="1:13" x14ac:dyDescent="0.25">
      <c r="A88" s="40"/>
      <c r="B88" s="42"/>
      <c r="C88" s="6" t="s">
        <v>13</v>
      </c>
      <c r="D88" s="23">
        <v>86000</v>
      </c>
      <c r="E88" s="22"/>
      <c r="F88" s="8">
        <v>85979.51</v>
      </c>
      <c r="G88" s="8"/>
      <c r="H88" s="8"/>
      <c r="I88" s="8"/>
      <c r="J88" s="7">
        <f t="shared" si="20"/>
        <v>85979.51</v>
      </c>
      <c r="K88" s="9">
        <v>0.99987649999999995</v>
      </c>
      <c r="L88" s="1"/>
      <c r="M88" s="1"/>
    </row>
    <row r="89" spans="1:13" x14ac:dyDescent="0.25">
      <c r="A89" s="40"/>
      <c r="B89" s="42"/>
      <c r="C89" s="6" t="s">
        <v>14</v>
      </c>
      <c r="E89" s="22"/>
      <c r="G89" s="8"/>
      <c r="H89" s="8"/>
      <c r="I89" s="8"/>
      <c r="J89" s="7">
        <f t="shared" si="20"/>
        <v>0</v>
      </c>
      <c r="K89" s="9" t="e">
        <v>#DIV/0!</v>
      </c>
      <c r="L89" s="1"/>
      <c r="M89" s="1"/>
    </row>
    <row r="90" spans="1:13" x14ac:dyDescent="0.25">
      <c r="A90" s="40"/>
      <c r="B90" s="43"/>
      <c r="C90" s="6" t="s">
        <v>15</v>
      </c>
      <c r="D90" s="23">
        <f>1265000+508726.52+21746.83+29691.6+332104.34+22.94</f>
        <v>2157292.23</v>
      </c>
      <c r="E90" s="8"/>
      <c r="F90" s="8">
        <v>1059782.6399999999</v>
      </c>
      <c r="G90" s="8">
        <v>185068.02</v>
      </c>
      <c r="H90" s="8"/>
      <c r="I90" s="8">
        <f>29685.32+104866.87</f>
        <v>134552.19</v>
      </c>
      <c r="J90" s="7">
        <f t="shared" si="20"/>
        <v>1379402.8499999999</v>
      </c>
      <c r="K90" s="9">
        <v>0.99131509612566771</v>
      </c>
      <c r="L90" s="1"/>
      <c r="M90" s="1"/>
    </row>
    <row r="91" spans="1:13" x14ac:dyDescent="0.25">
      <c r="A91" s="37" t="s">
        <v>16</v>
      </c>
      <c r="B91" s="38"/>
      <c r="C91" s="39"/>
      <c r="D91" s="10">
        <f>SUM(D86:D90)</f>
        <v>2972373.23</v>
      </c>
      <c r="E91" s="10">
        <f t="shared" ref="E91:J91" si="28">SUM(E86:E90)</f>
        <v>0</v>
      </c>
      <c r="F91" s="10">
        <f t="shared" si="28"/>
        <v>1700025.3199999998</v>
      </c>
      <c r="G91" s="10">
        <f t="shared" si="28"/>
        <v>335000.75</v>
      </c>
      <c r="H91" s="10">
        <f t="shared" si="28"/>
        <v>0</v>
      </c>
      <c r="I91" s="10">
        <f t="shared" si="28"/>
        <v>134552.19</v>
      </c>
      <c r="J91" s="10">
        <f t="shared" si="28"/>
        <v>2169578.2599999998</v>
      </c>
      <c r="K91" s="11">
        <v>0.98740027609607373</v>
      </c>
      <c r="L91" s="1"/>
      <c r="M91" s="1"/>
    </row>
    <row r="92" spans="1:13" x14ac:dyDescent="0.25">
      <c r="A92" s="40">
        <v>16</v>
      </c>
      <c r="B92" s="44" t="s">
        <v>30</v>
      </c>
      <c r="C92" s="6" t="s">
        <v>11</v>
      </c>
      <c r="D92" s="23">
        <v>111000</v>
      </c>
      <c r="E92" s="22"/>
      <c r="F92" s="8">
        <v>86792.98</v>
      </c>
      <c r="G92" s="8"/>
      <c r="H92" s="8"/>
      <c r="I92" s="8"/>
      <c r="J92" s="7">
        <f t="shared" si="20"/>
        <v>86792.98</v>
      </c>
      <c r="K92" s="9">
        <v>0.99525544179993697</v>
      </c>
      <c r="L92" s="1"/>
      <c r="M92" s="1"/>
    </row>
    <row r="93" spans="1:13" x14ac:dyDescent="0.25">
      <c r="A93" s="40"/>
      <c r="B93" s="44"/>
      <c r="C93" s="6" t="s">
        <v>12</v>
      </c>
      <c r="D93" s="23">
        <v>18100</v>
      </c>
      <c r="E93" s="22"/>
      <c r="F93" s="8">
        <v>15639.08</v>
      </c>
      <c r="G93" s="8"/>
      <c r="H93" s="8"/>
      <c r="I93" s="8"/>
      <c r="J93" s="7">
        <f t="shared" si="20"/>
        <v>15639.08</v>
      </c>
      <c r="K93" s="9">
        <v>0.99701479999999998</v>
      </c>
      <c r="L93" s="1"/>
      <c r="M93" s="1"/>
    </row>
    <row r="94" spans="1:13" x14ac:dyDescent="0.25">
      <c r="A94" s="40"/>
      <c r="B94" s="44"/>
      <c r="C94" s="6" t="s">
        <v>13</v>
      </c>
      <c r="D94" s="7"/>
      <c r="E94" s="8"/>
      <c r="F94" s="8">
        <v>0</v>
      </c>
      <c r="G94" s="8"/>
      <c r="H94" s="8"/>
      <c r="I94" s="8"/>
      <c r="J94" s="7">
        <f t="shared" si="20"/>
        <v>0</v>
      </c>
      <c r="K94" s="9" t="e">
        <v>#DIV/0!</v>
      </c>
      <c r="L94" s="1"/>
      <c r="M94" s="1"/>
    </row>
    <row r="95" spans="1:13" x14ac:dyDescent="0.25">
      <c r="A95" s="40"/>
      <c r="B95" s="44"/>
      <c r="C95" s="6" t="s">
        <v>14</v>
      </c>
      <c r="D95" s="7"/>
      <c r="E95" s="8"/>
      <c r="F95" s="8">
        <v>0</v>
      </c>
      <c r="G95" s="8"/>
      <c r="H95" s="8"/>
      <c r="I95" s="8"/>
      <c r="J95" s="7">
        <f t="shared" si="20"/>
        <v>0</v>
      </c>
      <c r="K95" s="9" t="e">
        <v>#DIV/0!</v>
      </c>
      <c r="L95" s="1"/>
      <c r="M95" s="1"/>
    </row>
    <row r="96" spans="1:13" x14ac:dyDescent="0.25">
      <c r="A96" s="40"/>
      <c r="B96" s="44"/>
      <c r="C96" s="6" t="s">
        <v>15</v>
      </c>
      <c r="D96" s="7">
        <v>0</v>
      </c>
      <c r="E96" s="8"/>
      <c r="F96" s="8">
        <v>0</v>
      </c>
      <c r="G96" s="8"/>
      <c r="H96" s="8"/>
      <c r="I96" s="8"/>
      <c r="J96" s="7">
        <f t="shared" si="20"/>
        <v>0</v>
      </c>
      <c r="K96" s="9">
        <v>1</v>
      </c>
      <c r="L96" s="1"/>
      <c r="M96" s="1"/>
    </row>
    <row r="97" spans="1:11" x14ac:dyDescent="0.25">
      <c r="A97" s="37" t="s">
        <v>16</v>
      </c>
      <c r="B97" s="38"/>
      <c r="C97" s="39"/>
      <c r="D97" s="10">
        <f>SUM(D92:D96)</f>
        <v>129100</v>
      </c>
      <c r="E97" s="10">
        <f t="shared" ref="E97:J97" si="29">SUM(E92:E96)</f>
        <v>0</v>
      </c>
      <c r="F97" s="10">
        <f t="shared" si="29"/>
        <v>102432.06</v>
      </c>
      <c r="G97" s="10">
        <f>SUM(G92:G96)</f>
        <v>0</v>
      </c>
      <c r="H97" s="10">
        <f t="shared" si="29"/>
        <v>0</v>
      </c>
      <c r="I97" s="10">
        <f>SUM(I92:I96)</f>
        <v>0</v>
      </c>
      <c r="J97" s="10">
        <f t="shared" si="29"/>
        <v>102432.06</v>
      </c>
      <c r="K97" s="11">
        <v>0.99615715005785932</v>
      </c>
    </row>
    <row r="98" spans="1:11" x14ac:dyDescent="0.25">
      <c r="A98" s="40">
        <v>17</v>
      </c>
      <c r="B98" s="44" t="s">
        <v>31</v>
      </c>
      <c r="C98" s="6" t="s">
        <v>11</v>
      </c>
      <c r="D98" s="23">
        <v>69784.02</v>
      </c>
      <c r="E98" s="22"/>
      <c r="F98" s="8">
        <v>61441.94</v>
      </c>
      <c r="G98" s="8"/>
      <c r="H98" s="8"/>
      <c r="I98" s="8"/>
      <c r="J98" s="7">
        <f>SUM(E98:I98)</f>
        <v>61441.94</v>
      </c>
      <c r="K98" s="9">
        <v>0.98919078008255545</v>
      </c>
    </row>
    <row r="99" spans="1:11" x14ac:dyDescent="0.25">
      <c r="A99" s="40"/>
      <c r="B99" s="44"/>
      <c r="C99" s="6" t="s">
        <v>12</v>
      </c>
      <c r="D99" s="23">
        <v>10000</v>
      </c>
      <c r="E99" s="22"/>
      <c r="F99" s="8">
        <v>8784.9699999999993</v>
      </c>
      <c r="G99" s="8"/>
      <c r="H99" s="8"/>
      <c r="I99" s="8"/>
      <c r="J99" s="7">
        <f t="shared" ref="J99:J102" si="30">SUM(E99:I99)</f>
        <v>8784.9699999999993</v>
      </c>
      <c r="K99" s="9">
        <v>0.97201650000000006</v>
      </c>
    </row>
    <row r="100" spans="1:11" x14ac:dyDescent="0.25">
      <c r="A100" s="40"/>
      <c r="B100" s="44"/>
      <c r="C100" s="6" t="s">
        <v>13</v>
      </c>
      <c r="E100" s="22"/>
      <c r="G100" s="8"/>
      <c r="H100" s="8"/>
      <c r="I100" s="8"/>
      <c r="J100" s="7">
        <f t="shared" si="30"/>
        <v>0</v>
      </c>
      <c r="K100" s="9" t="e">
        <v>#DIV/0!</v>
      </c>
    </row>
    <row r="101" spans="1:11" x14ac:dyDescent="0.25">
      <c r="A101" s="40"/>
      <c r="B101" s="44"/>
      <c r="C101" s="6" t="s">
        <v>14</v>
      </c>
      <c r="D101" s="7"/>
      <c r="E101" s="8"/>
      <c r="F101" s="8">
        <v>0</v>
      </c>
      <c r="G101" s="8"/>
      <c r="H101" s="8"/>
      <c r="I101" s="8"/>
      <c r="J101" s="7">
        <f t="shared" si="30"/>
        <v>0</v>
      </c>
      <c r="K101" s="9" t="e">
        <v>#DIV/0!</v>
      </c>
    </row>
    <row r="102" spans="1:11" x14ac:dyDescent="0.25">
      <c r="A102" s="40"/>
      <c r="B102" s="44"/>
      <c r="C102" s="6" t="s">
        <v>15</v>
      </c>
      <c r="D102" s="23">
        <f>395000+120000</f>
        <v>515000</v>
      </c>
      <c r="E102" s="8"/>
      <c r="F102" s="8">
        <v>346917.57</v>
      </c>
      <c r="G102" s="8">
        <v>74691.429999999993</v>
      </c>
      <c r="H102" s="8"/>
      <c r="I102" s="8"/>
      <c r="J102" s="7">
        <f t="shared" si="30"/>
        <v>421609</v>
      </c>
      <c r="K102" s="12">
        <v>0.64187730713434177</v>
      </c>
    </row>
    <row r="103" spans="1:11" x14ac:dyDescent="0.25">
      <c r="A103" s="37" t="s">
        <v>16</v>
      </c>
      <c r="B103" s="38"/>
      <c r="C103" s="39"/>
      <c r="D103" s="10">
        <f>SUM(D98:D102)</f>
        <v>594784.02</v>
      </c>
      <c r="E103" s="10">
        <f t="shared" ref="E103:J103" si="31">SUM(E98:E102)</f>
        <v>0</v>
      </c>
      <c r="F103" s="10">
        <f t="shared" si="31"/>
        <v>417144.48</v>
      </c>
      <c r="G103" s="10">
        <f t="shared" si="31"/>
        <v>74691.429999999993</v>
      </c>
      <c r="H103" s="10">
        <f t="shared" si="31"/>
        <v>0</v>
      </c>
      <c r="I103" s="10">
        <f t="shared" si="31"/>
        <v>0</v>
      </c>
      <c r="J103" s="10">
        <f t="shared" si="31"/>
        <v>491835.91000000003</v>
      </c>
      <c r="K103" s="11">
        <v>0.6718701943425095</v>
      </c>
    </row>
    <row r="104" spans="1:11" x14ac:dyDescent="0.25">
      <c r="A104" s="40">
        <v>18</v>
      </c>
      <c r="B104" s="44" t="s">
        <v>32</v>
      </c>
      <c r="C104" s="6" t="s">
        <v>11</v>
      </c>
      <c r="D104" s="23">
        <v>27100</v>
      </c>
      <c r="E104" s="22"/>
      <c r="F104" s="8">
        <v>26070.86</v>
      </c>
      <c r="G104" s="8"/>
      <c r="H104" s="8"/>
      <c r="I104" s="8"/>
      <c r="J104" s="7">
        <f>SUM(E104:I104)</f>
        <v>26070.86</v>
      </c>
      <c r="K104" s="9">
        <v>1</v>
      </c>
    </row>
    <row r="105" spans="1:11" x14ac:dyDescent="0.25">
      <c r="A105" s="40"/>
      <c r="B105" s="44"/>
      <c r="C105" s="6" t="s">
        <v>12</v>
      </c>
      <c r="D105" s="23">
        <v>13200</v>
      </c>
      <c r="E105" s="22"/>
      <c r="F105" s="8">
        <v>13182.56</v>
      </c>
      <c r="G105" s="8"/>
      <c r="H105" s="8"/>
      <c r="I105" s="8"/>
      <c r="J105" s="7">
        <f t="shared" ref="J105:J108" si="32">SUM(E105:I105)</f>
        <v>13182.56</v>
      </c>
      <c r="K105" s="9">
        <v>0.49303599999999997</v>
      </c>
    </row>
    <row r="106" spans="1:11" x14ac:dyDescent="0.25">
      <c r="A106" s="40"/>
      <c r="B106" s="44"/>
      <c r="C106" s="6" t="s">
        <v>13</v>
      </c>
      <c r="D106" s="7">
        <v>0</v>
      </c>
      <c r="E106" s="8"/>
      <c r="G106" s="8"/>
      <c r="H106" s="8"/>
      <c r="I106" s="8"/>
      <c r="J106" s="7">
        <f t="shared" si="32"/>
        <v>0</v>
      </c>
      <c r="K106" s="9" t="e">
        <v>#DIV/0!</v>
      </c>
    </row>
    <row r="107" spans="1:11" x14ac:dyDescent="0.25">
      <c r="A107" s="40"/>
      <c r="B107" s="44"/>
      <c r="C107" s="6" t="s">
        <v>14</v>
      </c>
      <c r="D107" s="7">
        <v>40000</v>
      </c>
      <c r="E107" s="8"/>
      <c r="F107" s="8"/>
      <c r="G107" s="8">
        <v>40000</v>
      </c>
      <c r="H107" s="8"/>
      <c r="I107" s="8"/>
      <c r="J107" s="7">
        <f t="shared" si="32"/>
        <v>40000</v>
      </c>
      <c r="K107" s="9">
        <v>0.99421276595744679</v>
      </c>
    </row>
    <row r="108" spans="1:11" x14ac:dyDescent="0.25">
      <c r="A108" s="40"/>
      <c r="B108" s="44"/>
      <c r="C108" s="6" t="s">
        <v>15</v>
      </c>
      <c r="D108" s="23">
        <v>41000</v>
      </c>
      <c r="E108" s="22"/>
      <c r="F108" s="8">
        <v>40900</v>
      </c>
      <c r="G108" s="8"/>
      <c r="H108" s="8"/>
      <c r="I108" s="8"/>
      <c r="J108" s="7">
        <f t="shared" si="32"/>
        <v>40900</v>
      </c>
      <c r="K108" s="9">
        <v>0.89310344827586208</v>
      </c>
    </row>
    <row r="109" spans="1:11" x14ac:dyDescent="0.25">
      <c r="A109" s="37" t="s">
        <v>16</v>
      </c>
      <c r="B109" s="38"/>
      <c r="C109" s="39"/>
      <c r="D109" s="10">
        <f>SUM(D104:D108)</f>
        <v>121300</v>
      </c>
      <c r="E109" s="10">
        <f t="shared" ref="E109:J109" si="33">SUM(E104:E108)</f>
        <v>0</v>
      </c>
      <c r="F109" s="10">
        <f>SUM(F104:F108)</f>
        <v>80153.42</v>
      </c>
      <c r="G109" s="10">
        <f t="shared" si="33"/>
        <v>40000</v>
      </c>
      <c r="H109" s="10">
        <f t="shared" si="33"/>
        <v>0</v>
      </c>
      <c r="I109" s="10">
        <f t="shared" si="33"/>
        <v>0</v>
      </c>
      <c r="J109" s="10">
        <f t="shared" si="33"/>
        <v>120153.42</v>
      </c>
      <c r="K109" s="11">
        <v>0.95576375947567971</v>
      </c>
    </row>
    <row r="110" spans="1:11" x14ac:dyDescent="0.25">
      <c r="A110" s="46">
        <v>19</v>
      </c>
      <c r="B110" s="45" t="s">
        <v>33</v>
      </c>
      <c r="C110" s="6" t="s">
        <v>11</v>
      </c>
      <c r="D110" s="23">
        <f>1971758.48+25000</f>
        <v>1996758.48</v>
      </c>
      <c r="E110" s="22"/>
      <c r="F110" s="8">
        <v>1806387</v>
      </c>
      <c r="G110" s="8"/>
      <c r="H110" s="8"/>
      <c r="I110" s="8"/>
      <c r="J110" s="7">
        <f>SUM(E110:I110)</f>
        <v>1806387</v>
      </c>
      <c r="K110" s="9">
        <v>1</v>
      </c>
    </row>
    <row r="111" spans="1:11" x14ac:dyDescent="0.25">
      <c r="A111" s="46"/>
      <c r="B111" s="45"/>
      <c r="C111" s="6" t="s">
        <v>12</v>
      </c>
      <c r="D111" s="23">
        <f>435000+95000</f>
        <v>530000</v>
      </c>
      <c r="E111" s="22"/>
      <c r="F111" s="8">
        <v>434848.07</v>
      </c>
      <c r="G111" s="8">
        <v>94682.66</v>
      </c>
      <c r="H111" s="8"/>
      <c r="I111" s="8"/>
      <c r="J111" s="7">
        <f t="shared" ref="J111:J158" si="34">SUM(E111:I111)</f>
        <v>529530.73</v>
      </c>
      <c r="K111" s="9">
        <v>0.97147832971800441</v>
      </c>
    </row>
    <row r="112" spans="1:11" x14ac:dyDescent="0.25">
      <c r="A112" s="46"/>
      <c r="B112" s="45"/>
      <c r="C112" s="6" t="s">
        <v>13</v>
      </c>
      <c r="D112" s="23">
        <v>59900</v>
      </c>
      <c r="E112" s="22"/>
      <c r="F112" s="8">
        <v>59887.28</v>
      </c>
      <c r="G112" s="8"/>
      <c r="H112" s="8"/>
      <c r="I112" s="8"/>
      <c r="J112" s="7">
        <f t="shared" si="34"/>
        <v>59887.28</v>
      </c>
      <c r="K112" s="9">
        <v>1</v>
      </c>
    </row>
    <row r="113" spans="1:11" x14ac:dyDescent="0.25">
      <c r="A113" s="46"/>
      <c r="B113" s="45"/>
      <c r="C113" s="6" t="s">
        <v>14</v>
      </c>
      <c r="E113" s="22"/>
      <c r="G113" s="8"/>
      <c r="H113" s="8"/>
      <c r="I113" s="8"/>
      <c r="J113" s="7">
        <f t="shared" si="34"/>
        <v>0</v>
      </c>
      <c r="K113" s="9" t="e">
        <v>#DIV/0!</v>
      </c>
    </row>
    <row r="114" spans="1:11" s="1" customFormat="1" x14ac:dyDescent="0.25">
      <c r="A114" s="46"/>
      <c r="B114" s="45"/>
      <c r="C114" s="6" t="s">
        <v>15</v>
      </c>
      <c r="D114" s="23">
        <f>353500+140000</f>
        <v>493500</v>
      </c>
      <c r="E114" s="8"/>
      <c r="F114" s="8">
        <v>351240.54</v>
      </c>
      <c r="G114" s="8">
        <v>114999.08</v>
      </c>
      <c r="H114" s="8"/>
      <c r="I114" s="8"/>
      <c r="J114" s="7">
        <f>SUM(E114:I114)</f>
        <v>466239.62</v>
      </c>
      <c r="K114" s="9">
        <v>1</v>
      </c>
    </row>
    <row r="115" spans="1:11" ht="25.5" x14ac:dyDescent="0.25">
      <c r="A115" s="46"/>
      <c r="B115" s="45"/>
      <c r="C115" s="29" t="s">
        <v>45</v>
      </c>
      <c r="D115" s="27">
        <v>179613.85</v>
      </c>
      <c r="E115" s="27">
        <v>179613.85</v>
      </c>
      <c r="J115" s="7">
        <f>SUM(E115:I115)</f>
        <v>179613.85</v>
      </c>
      <c r="K115" s="9">
        <v>1</v>
      </c>
    </row>
    <row r="116" spans="1:11" x14ac:dyDescent="0.25">
      <c r="A116" s="37" t="s">
        <v>16</v>
      </c>
      <c r="B116" s="38"/>
      <c r="C116" s="39"/>
      <c r="D116" s="10">
        <f>SUM(D110:D115)</f>
        <v>3259772.33</v>
      </c>
      <c r="E116" s="10">
        <f t="shared" ref="E116:I116" si="35">SUM(E110:E115)</f>
        <v>179613.85</v>
      </c>
      <c r="F116" s="10">
        <f t="shared" si="35"/>
        <v>2652362.8899999997</v>
      </c>
      <c r="G116" s="10">
        <f t="shared" si="35"/>
        <v>209681.74</v>
      </c>
      <c r="H116" s="10">
        <f t="shared" si="35"/>
        <v>0</v>
      </c>
      <c r="I116" s="10">
        <f t="shared" si="35"/>
        <v>0</v>
      </c>
      <c r="J116" s="10">
        <f>SUM(J110:J115)</f>
        <v>3041658.48</v>
      </c>
      <c r="K116" s="11">
        <v>0.99556433457124527</v>
      </c>
    </row>
    <row r="117" spans="1:11" x14ac:dyDescent="0.25">
      <c r="A117" s="40">
        <v>20</v>
      </c>
      <c r="B117" s="41" t="s">
        <v>34</v>
      </c>
      <c r="C117" s="6" t="s">
        <v>11</v>
      </c>
      <c r="D117" s="23">
        <v>145000</v>
      </c>
      <c r="E117" s="22"/>
      <c r="F117" s="8">
        <v>113588.12</v>
      </c>
      <c r="G117" s="8"/>
      <c r="H117" s="8"/>
      <c r="I117" s="8"/>
      <c r="J117" s="7">
        <f t="shared" si="34"/>
        <v>113588.12</v>
      </c>
      <c r="K117" s="9">
        <v>1</v>
      </c>
    </row>
    <row r="118" spans="1:11" x14ac:dyDescent="0.25">
      <c r="A118" s="40"/>
      <c r="B118" s="42"/>
      <c r="C118" s="6" t="s">
        <v>12</v>
      </c>
      <c r="D118" s="23">
        <v>20050</v>
      </c>
      <c r="E118" s="22"/>
      <c r="F118" s="8">
        <v>13712.05</v>
      </c>
      <c r="G118" s="8"/>
      <c r="H118" s="8"/>
      <c r="I118" s="8"/>
      <c r="J118" s="7">
        <f t="shared" si="34"/>
        <v>13712.05</v>
      </c>
      <c r="K118" s="9">
        <v>0.99824599999999997</v>
      </c>
    </row>
    <row r="119" spans="1:11" x14ac:dyDescent="0.25">
      <c r="A119" s="40"/>
      <c r="B119" s="42"/>
      <c r="C119" s="6" t="s">
        <v>13</v>
      </c>
      <c r="D119" s="23">
        <v>5000</v>
      </c>
      <c r="E119" s="22"/>
      <c r="F119" s="8">
        <v>4997.91</v>
      </c>
      <c r="G119" s="8"/>
      <c r="H119" s="8"/>
      <c r="I119" s="8"/>
      <c r="J119" s="7">
        <f t="shared" si="34"/>
        <v>4997.91</v>
      </c>
      <c r="K119" s="9">
        <v>1</v>
      </c>
    </row>
    <row r="120" spans="1:11" x14ac:dyDescent="0.25">
      <c r="A120" s="40"/>
      <c r="B120" s="42"/>
      <c r="C120" s="6" t="s">
        <v>14</v>
      </c>
      <c r="D120" s="7">
        <f>40000+200000</f>
        <v>240000</v>
      </c>
      <c r="E120" s="8"/>
      <c r="F120" s="8">
        <v>0</v>
      </c>
      <c r="G120" s="8">
        <f>37575+199010</f>
        <v>236585</v>
      </c>
      <c r="H120" s="8"/>
      <c r="I120" s="8"/>
      <c r="J120" s="7">
        <f t="shared" si="34"/>
        <v>236585</v>
      </c>
      <c r="K120" s="9">
        <v>0.95979512195121952</v>
      </c>
    </row>
    <row r="121" spans="1:11" x14ac:dyDescent="0.25">
      <c r="A121" s="40"/>
      <c r="B121" s="43"/>
      <c r="C121" s="6" t="s">
        <v>15</v>
      </c>
      <c r="D121" s="7">
        <v>0</v>
      </c>
      <c r="E121" s="8"/>
      <c r="F121" s="8">
        <v>0</v>
      </c>
      <c r="G121" s="8"/>
      <c r="H121" s="8"/>
      <c r="I121" s="8"/>
      <c r="J121" s="7">
        <f t="shared" si="34"/>
        <v>0</v>
      </c>
      <c r="K121" s="9" t="e">
        <v>#DIV/0!</v>
      </c>
    </row>
    <row r="122" spans="1:11" x14ac:dyDescent="0.25">
      <c r="A122" s="37" t="s">
        <v>16</v>
      </c>
      <c r="B122" s="38"/>
      <c r="C122" s="39"/>
      <c r="D122" s="10">
        <f>SUM(D117:D121)</f>
        <v>410050</v>
      </c>
      <c r="E122" s="10">
        <f t="shared" ref="E122:J122" si="36">SUM(E117:E121)</f>
        <v>0</v>
      </c>
      <c r="F122" s="10">
        <f t="shared" si="36"/>
        <v>132298.07999999999</v>
      </c>
      <c r="G122" s="10">
        <f t="shared" si="36"/>
        <v>236585</v>
      </c>
      <c r="H122" s="10">
        <f t="shared" si="36"/>
        <v>0</v>
      </c>
      <c r="I122" s="10">
        <f t="shared" si="36"/>
        <v>0</v>
      </c>
      <c r="J122" s="10">
        <f t="shared" si="36"/>
        <v>368883.07999999996</v>
      </c>
      <c r="K122" s="11">
        <v>0.99893196210773361</v>
      </c>
    </row>
    <row r="123" spans="1:11" x14ac:dyDescent="0.25">
      <c r="A123" s="40">
        <v>21</v>
      </c>
      <c r="B123" s="45" t="s">
        <v>35</v>
      </c>
      <c r="C123" s="6" t="s">
        <v>11</v>
      </c>
      <c r="D123" s="23">
        <v>287000</v>
      </c>
      <c r="E123" s="22"/>
      <c r="F123" s="8">
        <v>256114.63</v>
      </c>
      <c r="G123" s="8"/>
      <c r="H123" s="8"/>
      <c r="I123" s="8"/>
      <c r="J123" s="7">
        <f t="shared" si="34"/>
        <v>256114.63</v>
      </c>
      <c r="K123" s="9">
        <v>0.99742162669979384</v>
      </c>
    </row>
    <row r="124" spans="1:11" x14ac:dyDescent="0.25">
      <c r="A124" s="40"/>
      <c r="B124" s="45"/>
      <c r="C124" s="6" t="s">
        <v>12</v>
      </c>
      <c r="D124" s="23">
        <f>66100+7</f>
        <v>66107</v>
      </c>
      <c r="E124" s="22"/>
      <c r="F124" s="8">
        <v>63400.27</v>
      </c>
      <c r="G124" s="8"/>
      <c r="H124" s="8"/>
      <c r="I124" s="8"/>
      <c r="J124" s="7">
        <f t="shared" si="34"/>
        <v>63400.27</v>
      </c>
      <c r="K124" s="9">
        <v>0.97701202169213841</v>
      </c>
    </row>
    <row r="125" spans="1:11" x14ac:dyDescent="0.25">
      <c r="A125" s="40"/>
      <c r="B125" s="45"/>
      <c r="C125" s="6" t="s">
        <v>13</v>
      </c>
      <c r="D125" s="23">
        <v>80000</v>
      </c>
      <c r="E125" s="22"/>
      <c r="F125" s="8">
        <v>79797.06</v>
      </c>
      <c r="G125" s="8"/>
      <c r="H125" s="8"/>
      <c r="I125" s="8"/>
      <c r="J125" s="7">
        <f t="shared" si="34"/>
        <v>79797.06</v>
      </c>
      <c r="K125" s="9">
        <v>0.98144519752932891</v>
      </c>
    </row>
    <row r="126" spans="1:11" x14ac:dyDescent="0.25">
      <c r="A126" s="40"/>
      <c r="B126" s="45"/>
      <c r="C126" s="6" t="s">
        <v>14</v>
      </c>
      <c r="D126" s="28">
        <f>125000+210215.94</f>
        <v>335215.94</v>
      </c>
      <c r="E126" s="22"/>
      <c r="G126" s="8">
        <f>124959.2+210213.46</f>
        <v>335172.65999999997</v>
      </c>
      <c r="H126" s="8"/>
      <c r="I126" s="8"/>
      <c r="J126" s="7">
        <f t="shared" si="34"/>
        <v>335172.65999999997</v>
      </c>
      <c r="K126" s="9">
        <v>0.98982604199676438</v>
      </c>
    </row>
    <row r="127" spans="1:11" x14ac:dyDescent="0.25">
      <c r="A127" s="40"/>
      <c r="B127" s="45"/>
      <c r="C127" s="6" t="s">
        <v>15</v>
      </c>
      <c r="D127" s="23">
        <v>40000</v>
      </c>
      <c r="E127" s="8"/>
      <c r="F127" s="24">
        <v>39560</v>
      </c>
      <c r="G127" s="8"/>
      <c r="H127" s="8"/>
      <c r="I127" s="8"/>
      <c r="J127" s="7">
        <f t="shared" si="34"/>
        <v>39560</v>
      </c>
      <c r="K127" s="9">
        <v>1</v>
      </c>
    </row>
    <row r="128" spans="1:11" x14ac:dyDescent="0.25">
      <c r="A128" s="37" t="s">
        <v>16</v>
      </c>
      <c r="B128" s="38"/>
      <c r="C128" s="39"/>
      <c r="D128" s="10">
        <f>SUM(D123:D127)</f>
        <v>808322.94</v>
      </c>
      <c r="E128" s="10">
        <f t="shared" ref="E128:J128" si="37">SUM(E123:E127)</f>
        <v>0</v>
      </c>
      <c r="F128" s="10">
        <f>SUM(F123:F127)</f>
        <v>438871.96</v>
      </c>
      <c r="G128" s="10">
        <f t="shared" si="37"/>
        <v>335172.65999999997</v>
      </c>
      <c r="H128" s="10">
        <f t="shared" si="37"/>
        <v>0</v>
      </c>
      <c r="I128" s="10">
        <f t="shared" si="37"/>
        <v>0</v>
      </c>
      <c r="J128" s="10">
        <f t="shared" si="37"/>
        <v>774044.62</v>
      </c>
      <c r="K128" s="11">
        <v>0.99092873205177789</v>
      </c>
    </row>
    <row r="129" spans="1:11" x14ac:dyDescent="0.25">
      <c r="A129" s="40">
        <v>22</v>
      </c>
      <c r="B129" s="45" t="s">
        <v>36</v>
      </c>
      <c r="C129" s="6" t="s">
        <v>11</v>
      </c>
      <c r="D129" s="23">
        <v>118800</v>
      </c>
      <c r="E129" s="22"/>
      <c r="F129" s="8">
        <v>99883.01</v>
      </c>
      <c r="G129" s="8"/>
      <c r="H129" s="8"/>
      <c r="I129" s="8"/>
      <c r="J129" s="7">
        <f t="shared" si="34"/>
        <v>99883.01</v>
      </c>
      <c r="K129" s="9">
        <v>1</v>
      </c>
    </row>
    <row r="130" spans="1:11" x14ac:dyDescent="0.25">
      <c r="A130" s="40"/>
      <c r="B130" s="45"/>
      <c r="C130" s="6" t="s">
        <v>12</v>
      </c>
      <c r="D130" s="23">
        <f>900+3000</f>
        <v>3900</v>
      </c>
      <c r="E130" s="22"/>
      <c r="F130" s="8">
        <v>0</v>
      </c>
      <c r="G130" s="8">
        <v>2799.24</v>
      </c>
      <c r="H130" s="8"/>
      <c r="I130" s="8"/>
      <c r="J130" s="7">
        <f t="shared" si="34"/>
        <v>2799.24</v>
      </c>
      <c r="K130" s="9">
        <v>0.83389999999999997</v>
      </c>
    </row>
    <row r="131" spans="1:11" x14ac:dyDescent="0.25">
      <c r="A131" s="40"/>
      <c r="B131" s="45"/>
      <c r="C131" s="6" t="s">
        <v>13</v>
      </c>
      <c r="D131" s="23">
        <v>2008</v>
      </c>
      <c r="E131" s="22"/>
      <c r="F131" s="8">
        <v>1893.32</v>
      </c>
      <c r="G131" s="8"/>
      <c r="H131" s="8"/>
      <c r="I131" s="8"/>
      <c r="J131" s="7">
        <f t="shared" si="34"/>
        <v>1893.32</v>
      </c>
      <c r="K131" s="9">
        <v>0.99439243027888446</v>
      </c>
    </row>
    <row r="132" spans="1:11" x14ac:dyDescent="0.25">
      <c r="A132" s="40"/>
      <c r="B132" s="45"/>
      <c r="C132" s="6" t="s">
        <v>14</v>
      </c>
      <c r="D132" s="32">
        <v>68500</v>
      </c>
      <c r="E132" s="22"/>
      <c r="F132" s="8">
        <v>68350</v>
      </c>
      <c r="G132" s="8"/>
      <c r="H132" s="8"/>
      <c r="I132" s="8"/>
      <c r="J132" s="7">
        <f t="shared" si="34"/>
        <v>68350</v>
      </c>
      <c r="K132" s="9">
        <v>0.99875839416058387</v>
      </c>
    </row>
    <row r="133" spans="1:11" x14ac:dyDescent="0.25">
      <c r="A133" s="40"/>
      <c r="B133" s="45"/>
      <c r="C133" s="6" t="s">
        <v>15</v>
      </c>
      <c r="D133" s="7">
        <v>0</v>
      </c>
      <c r="E133" s="8"/>
      <c r="F133" s="8">
        <v>0</v>
      </c>
      <c r="G133" s="8"/>
      <c r="H133" s="8"/>
      <c r="I133" s="8"/>
      <c r="J133" s="7">
        <f t="shared" si="34"/>
        <v>0</v>
      </c>
      <c r="K133" s="9" t="e">
        <v>#DIV/0!</v>
      </c>
    </row>
    <row r="134" spans="1:11" x14ac:dyDescent="0.25">
      <c r="A134" s="37" t="s">
        <v>16</v>
      </c>
      <c r="B134" s="38"/>
      <c r="C134" s="39"/>
      <c r="D134" s="10">
        <f>SUM(D129:D133)</f>
        <v>193208</v>
      </c>
      <c r="E134" s="10">
        <f t="shared" ref="E134:J134" si="38">SUM(E129:E133)</f>
        <v>0</v>
      </c>
      <c r="F134" s="10">
        <f t="shared" si="38"/>
        <v>170126.33000000002</v>
      </c>
      <c r="G134" s="10">
        <f t="shared" si="38"/>
        <v>2799.24</v>
      </c>
      <c r="H134" s="10">
        <f t="shared" si="38"/>
        <v>0</v>
      </c>
      <c r="I134" s="10">
        <f t="shared" si="38"/>
        <v>0</v>
      </c>
      <c r="J134" s="10">
        <f t="shared" si="38"/>
        <v>172925.57</v>
      </c>
      <c r="K134" s="11">
        <v>0.99857373624065993</v>
      </c>
    </row>
    <row r="135" spans="1:11" x14ac:dyDescent="0.25">
      <c r="A135" s="47">
        <v>22</v>
      </c>
      <c r="B135" s="44" t="s">
        <v>37</v>
      </c>
      <c r="C135" s="6" t="s">
        <v>11</v>
      </c>
      <c r="D135" s="23">
        <v>61757</v>
      </c>
      <c r="E135" s="22"/>
      <c r="F135" s="8">
        <v>55997.27</v>
      </c>
      <c r="G135" s="8">
        <v>0</v>
      </c>
      <c r="H135" s="8"/>
      <c r="I135" s="8"/>
      <c r="J135" s="7">
        <f t="shared" si="34"/>
        <v>55997.27</v>
      </c>
      <c r="K135" s="9">
        <v>0.98596660775831269</v>
      </c>
    </row>
    <row r="136" spans="1:11" x14ac:dyDescent="0.25">
      <c r="A136" s="47"/>
      <c r="B136" s="44"/>
      <c r="C136" s="6" t="s">
        <v>12</v>
      </c>
      <c r="D136" s="23">
        <v>179850</v>
      </c>
      <c r="E136" s="22"/>
      <c r="F136" s="8">
        <v>176093.46</v>
      </c>
      <c r="G136" s="8"/>
      <c r="H136" s="8"/>
      <c r="I136" s="8"/>
      <c r="J136" s="7">
        <f t="shared" si="34"/>
        <v>176093.46</v>
      </c>
      <c r="K136" s="9">
        <v>0.99960400000000005</v>
      </c>
    </row>
    <row r="137" spans="1:11" x14ac:dyDescent="0.25">
      <c r="A137" s="47"/>
      <c r="B137" s="44"/>
      <c r="C137" s="6" t="s">
        <v>13</v>
      </c>
      <c r="D137" s="23">
        <v>142100</v>
      </c>
      <c r="E137" s="22"/>
      <c r="F137" s="8">
        <v>142006.73000000001</v>
      </c>
      <c r="G137" s="8"/>
      <c r="H137" s="8"/>
      <c r="I137" s="8"/>
      <c r="J137" s="7">
        <f t="shared" si="34"/>
        <v>142006.73000000001</v>
      </c>
      <c r="K137" s="9">
        <v>1</v>
      </c>
    </row>
    <row r="138" spans="1:11" x14ac:dyDescent="0.25">
      <c r="A138" s="47"/>
      <c r="B138" s="44"/>
      <c r="C138" s="6" t="s">
        <v>14</v>
      </c>
      <c r="E138" s="22"/>
      <c r="G138" s="8"/>
      <c r="H138" s="8"/>
      <c r="I138" s="8"/>
      <c r="J138" s="7">
        <f t="shared" si="34"/>
        <v>0</v>
      </c>
      <c r="K138" s="9" t="e">
        <v>#DIV/0!</v>
      </c>
    </row>
    <row r="139" spans="1:11" x14ac:dyDescent="0.25">
      <c r="A139" s="47"/>
      <c r="B139" s="44"/>
      <c r="C139" s="6" t="s">
        <v>15</v>
      </c>
      <c r="D139" s="23">
        <f>325934+104000+84434.63</f>
        <v>514368.63</v>
      </c>
      <c r="E139" s="8"/>
      <c r="F139" s="8">
        <v>309383.98</v>
      </c>
      <c r="G139" s="8">
        <v>45767.9</v>
      </c>
      <c r="H139" s="8"/>
      <c r="I139" s="8"/>
      <c r="J139" s="7">
        <f t="shared" si="34"/>
        <v>355151.88</v>
      </c>
      <c r="K139" s="9">
        <v>0.99904854842644553</v>
      </c>
    </row>
    <row r="140" spans="1:11" x14ac:dyDescent="0.25">
      <c r="A140" s="37" t="s">
        <v>16</v>
      </c>
      <c r="B140" s="38"/>
      <c r="C140" s="39"/>
      <c r="D140" s="10">
        <f>SUM(D135:D139)</f>
        <v>898075.63</v>
      </c>
      <c r="E140" s="10">
        <f t="shared" ref="E140:J140" si="39">SUM(E135:E139)</f>
        <v>0</v>
      </c>
      <c r="F140" s="10">
        <f>SUM(F135:F139)</f>
        <v>683481.44</v>
      </c>
      <c r="G140" s="10">
        <f t="shared" si="39"/>
        <v>45767.9</v>
      </c>
      <c r="H140" s="10">
        <f t="shared" si="39"/>
        <v>0</v>
      </c>
      <c r="I140" s="10">
        <f t="shared" si="39"/>
        <v>0</v>
      </c>
      <c r="J140" s="10">
        <f t="shared" si="39"/>
        <v>729249.34</v>
      </c>
      <c r="K140" s="11">
        <v>0.9978039521448836</v>
      </c>
    </row>
    <row r="141" spans="1:11" x14ac:dyDescent="0.25">
      <c r="A141" s="48">
        <v>23</v>
      </c>
      <c r="B141" s="41" t="s">
        <v>38</v>
      </c>
      <c r="C141" s="6" t="s">
        <v>11</v>
      </c>
      <c r="D141" s="23">
        <v>212700</v>
      </c>
      <c r="E141" s="22"/>
      <c r="F141" s="20">
        <v>211926.82</v>
      </c>
      <c r="G141" s="8"/>
      <c r="H141" s="8"/>
      <c r="I141" s="8"/>
      <c r="J141" s="7">
        <f t="shared" si="34"/>
        <v>211926.82</v>
      </c>
      <c r="K141" s="9">
        <v>1</v>
      </c>
    </row>
    <row r="142" spans="1:11" x14ac:dyDescent="0.25">
      <c r="A142" s="48"/>
      <c r="B142" s="42"/>
      <c r="C142" s="6" t="s">
        <v>12</v>
      </c>
      <c r="D142" s="23">
        <f>28300+96000+111.8</f>
        <v>124411.8</v>
      </c>
      <c r="E142" s="22"/>
      <c r="F142" s="8">
        <v>28021.9</v>
      </c>
      <c r="G142" s="8">
        <v>24508.33</v>
      </c>
      <c r="H142" s="8"/>
      <c r="I142" s="8"/>
      <c r="J142" s="7">
        <f t="shared" si="34"/>
        <v>52530.23</v>
      </c>
      <c r="K142" s="9">
        <v>0.8281001889213474</v>
      </c>
    </row>
    <row r="143" spans="1:11" x14ac:dyDescent="0.25">
      <c r="A143" s="48"/>
      <c r="B143" s="42"/>
      <c r="C143" s="6" t="s">
        <v>13</v>
      </c>
      <c r="D143" s="7">
        <v>8000</v>
      </c>
      <c r="E143" s="8"/>
      <c r="F143" s="8">
        <v>0</v>
      </c>
      <c r="G143" s="8">
        <v>7218.42</v>
      </c>
      <c r="H143" s="8"/>
      <c r="I143" s="8"/>
      <c r="J143" s="7">
        <f t="shared" si="34"/>
        <v>7218.42</v>
      </c>
      <c r="K143" s="9">
        <v>0.57657431088377387</v>
      </c>
    </row>
    <row r="144" spans="1:11" x14ac:dyDescent="0.25">
      <c r="A144" s="48"/>
      <c r="B144" s="42"/>
      <c r="C144" s="6" t="s">
        <v>14</v>
      </c>
      <c r="D144" s="7">
        <v>0</v>
      </c>
      <c r="E144" s="8"/>
      <c r="F144" s="8">
        <v>0</v>
      </c>
      <c r="G144" s="8"/>
      <c r="H144" s="8"/>
      <c r="I144" s="8"/>
      <c r="J144" s="7">
        <f t="shared" si="34"/>
        <v>0</v>
      </c>
      <c r="K144" s="9" t="e">
        <v>#DIV/0!</v>
      </c>
    </row>
    <row r="145" spans="1:11" x14ac:dyDescent="0.25">
      <c r="A145" s="48"/>
      <c r="B145" s="43"/>
      <c r="C145" s="6" t="s">
        <v>15</v>
      </c>
      <c r="D145" s="7"/>
      <c r="E145" s="8"/>
      <c r="F145" s="8">
        <v>0</v>
      </c>
      <c r="G145" s="8"/>
      <c r="H145" s="8"/>
      <c r="I145" s="8"/>
      <c r="J145" s="7">
        <f t="shared" si="34"/>
        <v>0</v>
      </c>
      <c r="K145" s="9" t="e">
        <v>#DIV/0!</v>
      </c>
    </row>
    <row r="146" spans="1:11" x14ac:dyDescent="0.25">
      <c r="A146" s="37" t="s">
        <v>16</v>
      </c>
      <c r="B146" s="38"/>
      <c r="C146" s="39"/>
      <c r="D146" s="10">
        <f>SUM(D141:D145)</f>
        <v>345111.8</v>
      </c>
      <c r="E146" s="10">
        <f t="shared" ref="E146:J146" si="40">SUM(E141:E145)</f>
        <v>0</v>
      </c>
      <c r="F146" s="10">
        <f t="shared" si="40"/>
        <v>239948.72</v>
      </c>
      <c r="G146" s="10">
        <f t="shared" si="40"/>
        <v>31726.75</v>
      </c>
      <c r="H146" s="10">
        <f t="shared" si="40"/>
        <v>0</v>
      </c>
      <c r="I146" s="10">
        <f t="shared" si="40"/>
        <v>0</v>
      </c>
      <c r="J146" s="10">
        <f t="shared" si="40"/>
        <v>271675.46999999997</v>
      </c>
      <c r="K146" s="11">
        <v>0.92257218275439568</v>
      </c>
    </row>
    <row r="147" spans="1:11" x14ac:dyDescent="0.25">
      <c r="A147" s="49">
        <v>24</v>
      </c>
      <c r="B147" s="52" t="s">
        <v>39</v>
      </c>
      <c r="C147" s="6" t="s">
        <v>11</v>
      </c>
      <c r="D147" s="23">
        <f>5783075.97+3160.17+5045.35</f>
        <v>5791281.4899999993</v>
      </c>
      <c r="E147" s="8"/>
      <c r="F147" s="20">
        <v>5782694.6399999997</v>
      </c>
      <c r="G147" s="8"/>
      <c r="H147" s="8"/>
      <c r="I147" s="8"/>
      <c r="J147" s="7">
        <f t="shared" si="34"/>
        <v>5782694.6399999997</v>
      </c>
      <c r="K147" s="9">
        <v>0.99904408331954131</v>
      </c>
    </row>
    <row r="148" spans="1:11" x14ac:dyDescent="0.25">
      <c r="A148" s="50"/>
      <c r="B148" s="53"/>
      <c r="C148" s="6" t="s">
        <v>12</v>
      </c>
      <c r="D148" s="23">
        <f>480000+1450+259.06</f>
        <v>481709.06</v>
      </c>
      <c r="E148" s="8"/>
      <c r="F148" s="8">
        <v>472079.87</v>
      </c>
      <c r="G148" s="8"/>
      <c r="H148" s="8">
        <v>1390</v>
      </c>
      <c r="I148" s="8"/>
      <c r="J148" s="7">
        <f t="shared" si="34"/>
        <v>473469.87</v>
      </c>
      <c r="K148" s="9">
        <v>0.96589548007368231</v>
      </c>
    </row>
    <row r="149" spans="1:11" x14ac:dyDescent="0.25">
      <c r="A149" s="50"/>
      <c r="B149" s="53"/>
      <c r="C149" s="6" t="s">
        <v>13</v>
      </c>
      <c r="D149" s="7">
        <v>0</v>
      </c>
      <c r="E149" s="8"/>
      <c r="F149" s="8">
        <v>0</v>
      </c>
      <c r="G149" s="8"/>
      <c r="H149" s="8"/>
      <c r="I149" s="8"/>
      <c r="J149" s="7">
        <f t="shared" si="34"/>
        <v>0</v>
      </c>
      <c r="K149" s="9" t="e">
        <v>#DIV/0!</v>
      </c>
    </row>
    <row r="150" spans="1:11" x14ac:dyDescent="0.25">
      <c r="A150" s="50"/>
      <c r="B150" s="53"/>
      <c r="C150" s="6" t="s">
        <v>14</v>
      </c>
      <c r="D150" s="7">
        <v>0</v>
      </c>
      <c r="E150" s="8"/>
      <c r="F150" s="8">
        <v>0</v>
      </c>
      <c r="G150" s="8"/>
      <c r="H150" s="8"/>
      <c r="I150" s="8"/>
      <c r="J150" s="7">
        <f t="shared" si="34"/>
        <v>0</v>
      </c>
      <c r="K150" s="9" t="e">
        <v>#DIV/0!</v>
      </c>
    </row>
    <row r="151" spans="1:11" x14ac:dyDescent="0.25">
      <c r="A151" s="50"/>
      <c r="B151" s="53"/>
      <c r="C151" s="6" t="s">
        <v>15</v>
      </c>
      <c r="D151" s="7">
        <v>6874.06</v>
      </c>
      <c r="E151" s="8"/>
      <c r="F151" s="8">
        <v>0</v>
      </c>
      <c r="G151" s="8"/>
      <c r="H151" s="8"/>
      <c r="I151" s="8">
        <v>6873.46</v>
      </c>
      <c r="J151" s="7">
        <f>SUM(E151:I151)</f>
        <v>6873.46</v>
      </c>
      <c r="K151" s="9">
        <v>0.45786147954096962</v>
      </c>
    </row>
    <row r="152" spans="1:11" x14ac:dyDescent="0.25">
      <c r="A152" s="51"/>
      <c r="B152" s="54"/>
      <c r="C152" s="6" t="s">
        <v>40</v>
      </c>
      <c r="D152" s="7">
        <v>0</v>
      </c>
      <c r="E152" s="8"/>
      <c r="F152" s="8">
        <v>0</v>
      </c>
      <c r="G152" s="8"/>
      <c r="H152" s="8"/>
      <c r="I152" s="8"/>
      <c r="J152" s="7">
        <f t="shared" si="34"/>
        <v>0</v>
      </c>
      <c r="K152" s="9" t="e">
        <v>#DIV/0!</v>
      </c>
    </row>
    <row r="153" spans="1:11" x14ac:dyDescent="0.25">
      <c r="A153" s="37" t="s">
        <v>16</v>
      </c>
      <c r="B153" s="38"/>
      <c r="C153" s="39"/>
      <c r="D153" s="10">
        <f>SUM(D147:D152)</f>
        <v>6279864.6099999985</v>
      </c>
      <c r="E153" s="10">
        <f t="shared" ref="E153:I153" si="41">SUM(E147:E152)</f>
        <v>0</v>
      </c>
      <c r="F153" s="10">
        <f t="shared" si="41"/>
        <v>6254774.5099999998</v>
      </c>
      <c r="G153" s="10">
        <f t="shared" si="41"/>
        <v>0</v>
      </c>
      <c r="H153" s="10">
        <f t="shared" si="41"/>
        <v>1390</v>
      </c>
      <c r="I153" s="10">
        <f t="shared" si="41"/>
        <v>6873.46</v>
      </c>
      <c r="J153" s="10">
        <f>SUM(J147:J152)</f>
        <v>6263037.9699999997</v>
      </c>
      <c r="K153" s="11">
        <v>0.99577959613425049</v>
      </c>
    </row>
    <row r="154" spans="1:11" x14ac:dyDescent="0.25">
      <c r="A154" s="47">
        <v>25</v>
      </c>
      <c r="B154" s="45" t="s">
        <v>41</v>
      </c>
      <c r="C154" s="6" t="s">
        <v>11</v>
      </c>
      <c r="D154" s="23">
        <f>1987550+42450</f>
        <v>2030000</v>
      </c>
      <c r="E154" s="22"/>
      <c r="F154" s="8">
        <v>1982743.34</v>
      </c>
      <c r="G154" s="8">
        <v>30250</v>
      </c>
      <c r="H154" s="8"/>
      <c r="I154" s="8"/>
      <c r="J154" s="7">
        <f t="shared" si="34"/>
        <v>2012993.34</v>
      </c>
      <c r="K154" s="9">
        <v>0.99895483744067892</v>
      </c>
    </row>
    <row r="155" spans="1:11" x14ac:dyDescent="0.25">
      <c r="A155" s="47"/>
      <c r="B155" s="45"/>
      <c r="C155" s="6" t="s">
        <v>12</v>
      </c>
      <c r="D155" s="23">
        <f>220677+21165</f>
        <v>241842</v>
      </c>
      <c r="E155" s="22"/>
      <c r="F155" s="8">
        <v>215506.24</v>
      </c>
      <c r="G155" s="8">
        <v>897.43</v>
      </c>
      <c r="H155" s="8"/>
      <c r="I155" s="8"/>
      <c r="J155" s="7">
        <f t="shared" si="34"/>
        <v>216403.66999999998</v>
      </c>
      <c r="K155" s="9">
        <v>0.92189882727092032</v>
      </c>
    </row>
    <row r="156" spans="1:11" x14ac:dyDescent="0.25">
      <c r="A156" s="47"/>
      <c r="B156" s="45"/>
      <c r="C156" s="6" t="s">
        <v>13</v>
      </c>
      <c r="D156" s="7">
        <v>0</v>
      </c>
      <c r="E156" s="8"/>
      <c r="F156" s="8">
        <v>0</v>
      </c>
      <c r="H156" s="8"/>
      <c r="I156" s="8"/>
      <c r="J156" s="7">
        <f t="shared" si="34"/>
        <v>0</v>
      </c>
      <c r="K156" s="9" t="e">
        <v>#DIV/0!</v>
      </c>
    </row>
    <row r="157" spans="1:11" x14ac:dyDescent="0.25">
      <c r="A157" s="47"/>
      <c r="B157" s="45"/>
      <c r="C157" s="6" t="s">
        <v>14</v>
      </c>
      <c r="D157" s="7">
        <v>0</v>
      </c>
      <c r="E157" s="8"/>
      <c r="F157" s="8"/>
      <c r="G157" s="8"/>
      <c r="H157" s="8"/>
      <c r="I157" s="8"/>
      <c r="J157" s="7">
        <f t="shared" si="34"/>
        <v>0</v>
      </c>
      <c r="K157" s="9" t="e">
        <v>#DIV/0!</v>
      </c>
    </row>
    <row r="158" spans="1:11" x14ac:dyDescent="0.25">
      <c r="A158" s="47"/>
      <c r="B158" s="45"/>
      <c r="C158" s="6" t="s">
        <v>15</v>
      </c>
      <c r="D158" s="7"/>
      <c r="E158" s="8"/>
      <c r="F158" s="8"/>
      <c r="G158" s="8"/>
      <c r="H158" s="8"/>
      <c r="I158" s="8"/>
      <c r="J158" s="7">
        <f t="shared" si="34"/>
        <v>0</v>
      </c>
      <c r="K158" s="9" t="e">
        <v>#DIV/0!</v>
      </c>
    </row>
    <row r="159" spans="1:11" x14ac:dyDescent="0.25">
      <c r="A159" s="37" t="s">
        <v>16</v>
      </c>
      <c r="B159" s="38"/>
      <c r="C159" s="39"/>
      <c r="D159" s="10">
        <f>SUM(D154:D158)</f>
        <v>2271842</v>
      </c>
      <c r="E159" s="10">
        <f t="shared" ref="E159:I159" si="42">SUM(E154:E158)</f>
        <v>0</v>
      </c>
      <c r="F159" s="10">
        <f t="shared" si="42"/>
        <v>2198249.58</v>
      </c>
      <c r="G159" s="10">
        <f>SUM(G154:G158)</f>
        <v>31147.43</v>
      </c>
      <c r="H159" s="10">
        <f t="shared" si="42"/>
        <v>0</v>
      </c>
      <c r="I159" s="10">
        <f t="shared" si="42"/>
        <v>0</v>
      </c>
      <c r="J159" s="10">
        <f>SUM(J154:J158)</f>
        <v>2229397.0100000002</v>
      </c>
      <c r="K159" s="11">
        <v>0.9943588001488648</v>
      </c>
    </row>
    <row r="160" spans="1:11" x14ac:dyDescent="0.25">
      <c r="A160" s="55" t="s">
        <v>42</v>
      </c>
      <c r="B160" s="56"/>
      <c r="C160" s="13" t="s">
        <v>11</v>
      </c>
      <c r="D160" s="14">
        <f>D2+D8+D14+D20+D26+D32+D38+D44+D50+D56+D62+D68+D74+D80+D86+D92+D98+D104+D110+D117+D123+D129+D135+D141+D147+D154</f>
        <v>12506921</v>
      </c>
      <c r="E160" s="14">
        <f>E2+E8+E14+E20+E26+E32+E38+E44+E50+E56+E62+E68+E74+E80+E86+E92+E98+E104+E110+E117+E123+E129+E135+E141+E147+E154+E115</f>
        <v>179613.85</v>
      </c>
      <c r="F160" s="14">
        <f t="shared" ref="F160:H160" si="43">F2+F8+F14+F20+F26+F32+F38+F44+F50+F56+F62+F68+F74+F80+F86+F92+F98+F104+F110+F117+F123+F129+F135+F141+F147+F154</f>
        <v>12020821.5</v>
      </c>
      <c r="G160" s="14">
        <f>G2+G8+G14+G20+G26+G32+G38+G44+G50+G56+G62+G68+G74+G80+G86+G92+G98+G104+G110+G117+G123+G129+G135+G141+G147+G154</f>
        <v>30250</v>
      </c>
      <c r="H160" s="14">
        <f t="shared" si="43"/>
        <v>0</v>
      </c>
      <c r="I160" s="14">
        <f>I2+I8+I14+I20+I26+I32+I38+I44+I50+I56+I62+I68+I74+I80+I86+I92+I98+I104+I110+I117+I123+I129+I135+I141+I147+I154</f>
        <v>0</v>
      </c>
      <c r="J160" s="14">
        <f t="shared" ref="J160:J165" si="44">SUM(E160:I160)</f>
        <v>12230685.35</v>
      </c>
      <c r="K160" s="15">
        <v>0.99855517534595328</v>
      </c>
    </row>
    <row r="161" spans="1:11" x14ac:dyDescent="0.25">
      <c r="A161" s="57"/>
      <c r="B161" s="58"/>
      <c r="C161" s="13" t="s">
        <v>12</v>
      </c>
      <c r="D161" s="14">
        <f>D3+D9+D15+D21+D27+D33+D39+D45+D51+D57+D63+D69+D75+D81+D87+D93+D99+D105+D111+D118+D124+D130+D136+D142+D148+D155</f>
        <v>3647921.8</v>
      </c>
      <c r="E161" s="14">
        <f t="shared" ref="E161:I161" si="45">E3+E9+E15+E21+E27+E33+E39+E45+E51+E57+E63+E69+E75+E81+E87+E93+E99+E105+E111+E118+E124+E130+E136+E142+E148+E155</f>
        <v>0</v>
      </c>
      <c r="F161" s="14">
        <f t="shared" si="45"/>
        <v>2439030.25</v>
      </c>
      <c r="G161" s="14">
        <f>G3+G9+G15+G21+G27+G33+G39+G45+G51+G57+G63+G69+G75+G81+G87+G93+G99+G105+G111+G118+G124+G130+G136+G142+G148+G155</f>
        <v>1039947.64</v>
      </c>
      <c r="H161" s="14">
        <f t="shared" si="45"/>
        <v>1390</v>
      </c>
      <c r="I161" s="14">
        <f t="shared" si="45"/>
        <v>0</v>
      </c>
      <c r="J161" s="14">
        <f t="shared" si="44"/>
        <v>3480367.89</v>
      </c>
      <c r="K161" s="15">
        <v>0.96761912367600234</v>
      </c>
    </row>
    <row r="162" spans="1:11" x14ac:dyDescent="0.25">
      <c r="A162" s="57"/>
      <c r="B162" s="58"/>
      <c r="C162" s="13" t="s">
        <v>13</v>
      </c>
      <c r="D162" s="14">
        <f>D4+D10+D16+D22+D28+D34+D40+D46+D52+D58+D64+D70+D76+D82+D88+D94+D100+D106+D112+D119+D125+D131+D137+D143+D149</f>
        <v>488008</v>
      </c>
      <c r="E162" s="14">
        <f t="shared" ref="E162:I162" si="46">E4+E10+E16+E22+E28+E34+E40+E46+E52+E58+E64+E70+E76+E82+E88+E94+E100+E106+E112+E119+E125+E131+E137+E143+E149</f>
        <v>0</v>
      </c>
      <c r="F162" s="14">
        <f t="shared" si="46"/>
        <v>479538.92000000004</v>
      </c>
      <c r="G162" s="14">
        <f>G4+G10+G16+G22+G28+G34+G40+G46+G52+G58+G64+G70+G76+G82+G88+G94+G100+G106+G112+G119+G125+G131+G137+G143+G149</f>
        <v>7218.42</v>
      </c>
      <c r="H162" s="14">
        <f t="shared" si="46"/>
        <v>0</v>
      </c>
      <c r="I162" s="14">
        <f t="shared" si="46"/>
        <v>0</v>
      </c>
      <c r="J162" s="14">
        <f t="shared" si="44"/>
        <v>486757.34</v>
      </c>
      <c r="K162" s="15">
        <v>0.97719735799871743</v>
      </c>
    </row>
    <row r="163" spans="1:11" x14ac:dyDescent="0.25">
      <c r="A163" s="57"/>
      <c r="B163" s="58"/>
      <c r="C163" s="13" t="s">
        <v>14</v>
      </c>
      <c r="D163" s="14">
        <f>D5+D11+D17+D23+D29+D35+D41+D47+D53+D59+D65+D71+D77+D83+D95+D101+D107+D113+D120+D132+D144+D150+D157+D89+D126+D138</f>
        <v>1183956.54</v>
      </c>
      <c r="E163" s="14">
        <f t="shared" ref="E163:I163" si="47">E5+E11+E17+E23+E29+E35+E41+E47+E53+E59+E65+E71+E77+E83+E95+E101+E113+E120+E132+E144+E150+E157</f>
        <v>0</v>
      </c>
      <c r="F163" s="14">
        <f t="shared" si="47"/>
        <v>68350</v>
      </c>
      <c r="G163" s="14">
        <f>G5+G11+G23+G29+G35+G41+G47+G53+G59+G65+G71+G77+G83+G95+G101+G113+G120+G132+G144+G150+G157+G138+G126+G107+G89+G17</f>
        <v>1075484.79</v>
      </c>
      <c r="H163" s="14">
        <f t="shared" si="47"/>
        <v>9296.9500000000007</v>
      </c>
      <c r="I163" s="14">
        <f t="shared" si="47"/>
        <v>0</v>
      </c>
      <c r="J163" s="14">
        <f t="shared" si="44"/>
        <v>1153131.74</v>
      </c>
      <c r="K163" s="15">
        <v>0.98323048998978912</v>
      </c>
    </row>
    <row r="164" spans="1:11" x14ac:dyDescent="0.25">
      <c r="A164" s="57"/>
      <c r="B164" s="58"/>
      <c r="C164" s="13" t="s">
        <v>15</v>
      </c>
      <c r="D164" s="14">
        <f>D6+D12+D18+D24+D30+D36+D42+D48+D54+D60+D66+D72+D78+D84+D90+D96+D102+D108+D114+D121+D127+D133+D139+D145+D151+D158</f>
        <v>5571559.5299999993</v>
      </c>
      <c r="E164" s="14">
        <f>E6+E18+E24+E30+E36+E42+E48+E54+E60+E66+E72+E78+E84+E90+E96+E102+E108+E114+E121+E127+E133+E139+E145+E152+E158</f>
        <v>0</v>
      </c>
      <c r="F164" s="14">
        <f>F6+F18+F24+F30+F36+F42+F48+F54+F60+F66+F72+F78+F84+F90+F96+F102+F108+F114+F121+F127+F133+F139+F145+F152+F158</f>
        <v>3268124.7199999997</v>
      </c>
      <c r="G164" s="14">
        <f>G6+G18+G24+G30+G36+G42+G48+G54+G60+G66+G72+G78+G84+G90+G96+G102+G108+G114+G121+G127+G133+G139+G145+G152+G158+G12</f>
        <v>1060086.67</v>
      </c>
      <c r="H164" s="14">
        <f>H6+H18+H24+H30+H36+H42+H48+H54+H60+H66+H72+H78+H84+H90+H96+H102+H108+H114+H121+H127+H133+H139+H145+H152+H158</f>
        <v>0</v>
      </c>
      <c r="I164" s="14">
        <f>I6+I18+I24+I30+I36+I42+I48+I54+I60+I66+I72+I78+I84+I90+I96+I102+I108+I114+I121+I127+I133+I139+I145+I151+I158</f>
        <v>141425.65</v>
      </c>
      <c r="J164" s="14">
        <f t="shared" si="44"/>
        <v>4469637.04</v>
      </c>
      <c r="K164" s="15">
        <v>0.91977629587890131</v>
      </c>
    </row>
    <row r="165" spans="1:11" ht="25.5" x14ac:dyDescent="0.25">
      <c r="A165" s="59"/>
      <c r="B165" s="60"/>
      <c r="C165" s="30" t="s">
        <v>45</v>
      </c>
      <c r="D165" s="16">
        <f>D115</f>
        <v>179613.85</v>
      </c>
      <c r="E165" s="16"/>
      <c r="F165" s="14"/>
      <c r="G165" s="16"/>
      <c r="H165" s="16"/>
      <c r="I165" s="16"/>
      <c r="J165" s="14">
        <f t="shared" si="44"/>
        <v>0</v>
      </c>
      <c r="K165" s="15"/>
    </row>
    <row r="166" spans="1:11" x14ac:dyDescent="0.25">
      <c r="A166" s="34" t="s">
        <v>16</v>
      </c>
      <c r="B166" s="35"/>
      <c r="C166" s="36"/>
      <c r="D166" s="17">
        <f>SUM(D160:D165)</f>
        <v>23577980.719999999</v>
      </c>
      <c r="E166" s="17">
        <f t="shared" ref="E166:H166" si="48">SUM(E160:E165)</f>
        <v>179613.85</v>
      </c>
      <c r="F166" s="17">
        <f t="shared" si="48"/>
        <v>18275865.390000001</v>
      </c>
      <c r="G166" s="17">
        <f>SUM(G160:G165)</f>
        <v>3212987.52</v>
      </c>
      <c r="H166" s="17">
        <f t="shared" si="48"/>
        <v>10686.95</v>
      </c>
      <c r="I166" s="17">
        <f>SUM(I160:I165)</f>
        <v>141425.65</v>
      </c>
      <c r="J166" s="17">
        <f>SUM(J160:J165)</f>
        <v>21820579.359999999</v>
      </c>
      <c r="K166" s="18">
        <v>0.97710214597516099</v>
      </c>
    </row>
    <row r="168" spans="1:11" x14ac:dyDescent="0.25">
      <c r="D168" s="25"/>
    </row>
    <row r="169" spans="1:11" x14ac:dyDescent="0.25">
      <c r="D169" s="33"/>
    </row>
    <row r="170" spans="1:11" x14ac:dyDescent="0.25">
      <c r="G170" s="24"/>
      <c r="J170" s="25"/>
    </row>
    <row r="171" spans="1:11" x14ac:dyDescent="0.25">
      <c r="D171" s="27"/>
    </row>
    <row r="172" spans="1:11" x14ac:dyDescent="0.25">
      <c r="D172" s="25"/>
      <c r="G172" s="25"/>
    </row>
    <row r="173" spans="1:11" x14ac:dyDescent="0.25">
      <c r="D173" s="25"/>
    </row>
    <row r="174" spans="1:11" x14ac:dyDescent="0.25">
      <c r="D174" s="25"/>
    </row>
    <row r="175" spans="1:11" x14ac:dyDescent="0.25">
      <c r="D175" s="25"/>
      <c r="G175" s="24"/>
    </row>
    <row r="177" spans="4:7" x14ac:dyDescent="0.25">
      <c r="D177" s="25"/>
      <c r="G177" s="33"/>
    </row>
    <row r="178" spans="4:7" x14ac:dyDescent="0.25">
      <c r="G178" s="27"/>
    </row>
    <row r="179" spans="4:7" x14ac:dyDescent="0.25">
      <c r="G179" s="27"/>
    </row>
    <row r="181" spans="4:7" x14ac:dyDescent="0.25">
      <c r="D181" s="25"/>
      <c r="G181" s="27"/>
    </row>
  </sheetData>
  <autoFilter ref="C1:C182"/>
  <mergeCells count="80">
    <mergeCell ref="A147:A152"/>
    <mergeCell ref="B147:B152"/>
    <mergeCell ref="A160:B165"/>
    <mergeCell ref="A153:C153"/>
    <mergeCell ref="A154:A158"/>
    <mergeCell ref="B154:B158"/>
    <mergeCell ref="A159:C159"/>
    <mergeCell ref="A146:C146"/>
    <mergeCell ref="A123:A127"/>
    <mergeCell ref="B123:B127"/>
    <mergeCell ref="A128:C128"/>
    <mergeCell ref="A129:A133"/>
    <mergeCell ref="B129:B133"/>
    <mergeCell ref="A134:C134"/>
    <mergeCell ref="A135:A139"/>
    <mergeCell ref="B135:B139"/>
    <mergeCell ref="A140:C140"/>
    <mergeCell ref="A141:A145"/>
    <mergeCell ref="B141:B145"/>
    <mergeCell ref="A122:C122"/>
    <mergeCell ref="A98:A102"/>
    <mergeCell ref="B98:B102"/>
    <mergeCell ref="A103:C103"/>
    <mergeCell ref="A104:A108"/>
    <mergeCell ref="B104:B108"/>
    <mergeCell ref="A109:C109"/>
    <mergeCell ref="A110:A115"/>
    <mergeCell ref="B110:B115"/>
    <mergeCell ref="A116:C116"/>
    <mergeCell ref="A117:A121"/>
    <mergeCell ref="B117:B121"/>
    <mergeCell ref="A97:C97"/>
    <mergeCell ref="A74:A78"/>
    <mergeCell ref="B74:B78"/>
    <mergeCell ref="A79:C79"/>
    <mergeCell ref="A80:A84"/>
    <mergeCell ref="B80:B84"/>
    <mergeCell ref="A85:C85"/>
    <mergeCell ref="A86:A90"/>
    <mergeCell ref="B86:B90"/>
    <mergeCell ref="A91:C91"/>
    <mergeCell ref="A92:A96"/>
    <mergeCell ref="B92:B96"/>
    <mergeCell ref="A43:C43"/>
    <mergeCell ref="A44:A48"/>
    <mergeCell ref="B44:B48"/>
    <mergeCell ref="A73:C73"/>
    <mergeCell ref="A50:A54"/>
    <mergeCell ref="B50:B54"/>
    <mergeCell ref="A55:C55"/>
    <mergeCell ref="A56:A60"/>
    <mergeCell ref="B56:B60"/>
    <mergeCell ref="A61:C61"/>
    <mergeCell ref="A62:A66"/>
    <mergeCell ref="B62:B66"/>
    <mergeCell ref="A67:C67"/>
    <mergeCell ref="A68:A72"/>
    <mergeCell ref="B68:B72"/>
    <mergeCell ref="A31:C31"/>
    <mergeCell ref="A32:A36"/>
    <mergeCell ref="B32:B36"/>
    <mergeCell ref="A37:C37"/>
    <mergeCell ref="A38:A42"/>
    <mergeCell ref="B38:B42"/>
    <mergeCell ref="A166:C166"/>
    <mergeCell ref="A25:C25"/>
    <mergeCell ref="A2:A6"/>
    <mergeCell ref="B2:B6"/>
    <mergeCell ref="A7:C7"/>
    <mergeCell ref="A8:A12"/>
    <mergeCell ref="B8:B12"/>
    <mergeCell ref="A13:C13"/>
    <mergeCell ref="A14:A18"/>
    <mergeCell ref="B14:B18"/>
    <mergeCell ref="A19:C19"/>
    <mergeCell ref="A20:A24"/>
    <mergeCell ref="B20:B24"/>
    <mergeCell ref="A49:C49"/>
    <mergeCell ref="A26:A30"/>
    <mergeCell ref="B26:B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Mevlyde Shala</dc:creator>
  <cp:lastModifiedBy>Sofije.Rushiti</cp:lastModifiedBy>
  <dcterms:created xsi:type="dcterms:W3CDTF">2023-02-09T14:12:43Z</dcterms:created>
  <dcterms:modified xsi:type="dcterms:W3CDTF">2023-02-15T11:06:47Z</dcterms:modified>
</cp:coreProperties>
</file>