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5" windowHeight="9975" firstSheet="1" activeTab="1"/>
  </bookViews>
  <sheets>
    <sheet name="Buxh.kom." sheetId="1" r:id="rId1"/>
    <sheet name="Raporti gjashtëmujor " sheetId="2" r:id="rId2"/>
  </sheets>
  <definedNames>
    <definedName name="OLE_LINK5" localSheetId="0">'Buxh.kom.'!$A$3</definedName>
    <definedName name="OLE_LINK5" localSheetId="1">'Raporti gjashtëmujor '!$A$3</definedName>
    <definedName name="_xlnm.Print_Area" localSheetId="0">'Buxh.kom.'!$A$1:$CX$949</definedName>
    <definedName name="_xlnm.Print_Area" localSheetId="1">'Raporti gjashtëmujor '!$A$1:$CX$3214</definedName>
  </definedNames>
  <calcPr fullCalcOnLoad="1"/>
</workbook>
</file>

<file path=xl/sharedStrings.xml><?xml version="1.0" encoding="utf-8"?>
<sst xmlns="http://schemas.openxmlformats.org/spreadsheetml/2006/main" count="3350" uniqueCount="1260">
  <si>
    <t xml:space="preserve">                  Për gjashtë muaj të vitit 2012 në emër të transfereve dhe subvencioneve janë paguar 292,952.22 € , gjë që është tejkalim i planit </t>
  </si>
  <si>
    <t xml:space="preserve">                  Pagesat e lartëcekura janë financuar nga burimet e mëposhtme .</t>
  </si>
  <si>
    <t xml:space="preserve"> pasqyrimi I mësipërm tabelar .</t>
  </si>
  <si>
    <t xml:space="preserve"> shumën prej 180,825.22 € .</t>
  </si>
  <si>
    <t xml:space="preserve">                  Financimi i kësaj kategorie buxhetore është bërë nga burimet e mëposhtme :</t>
  </si>
  <si>
    <t xml:space="preserve">                  Subvencionet për Entitete jopublike shënojnë rritje për 57.05 % në krahasim me gjashtëmujorin e parë të vitit 2011 dhe arrijnë</t>
  </si>
  <si>
    <t xml:space="preserve">                  Pagesat për përfitues individual shënojnë tejkalim të planit për 273.76 % dhe në fund të periudhës raportuese arrijnë shumën prej</t>
  </si>
  <si>
    <t xml:space="preserve">                  Nga pasqyrimi i mëposhtëm tabelar mund të përcjellet dinamika e planifikimit dhe realizimit të shpenzimeve për transfere dhe</t>
  </si>
  <si>
    <t xml:space="preserve">                  Dinamika dhe struktura e pagesave për shpenzime komunale gjatë gjashtëmujorit të parë të vitit 2012 mund të përcjellet nga</t>
  </si>
  <si>
    <t xml:space="preserve">                  Bartës i pagesave për mallra dhe shërbime gjatë periudhës raportuese janë : </t>
  </si>
  <si>
    <t xml:space="preserve">                  Pagesat për mallra dhe shërbime të Drejtorive të lartëcekura përbëjnë 62.89 % të shpenzimeve të gjithmbarshme për mallra dhe</t>
  </si>
  <si>
    <t xml:space="preserve">                  Brenda Drejtorive , dinamika dhe struktura e pagesave për mallra dhe shërbime është e ndurduarshme , si në raport me </t>
  </si>
  <si>
    <t xml:space="preserve">                  Bartës i shpenzimeve për transfere dhe subvencione është Zyra e Kryetarit dhe të njajtat janë për 243.09 % më të larta në</t>
  </si>
  <si>
    <t xml:space="preserve">                  Nga planifikimi i gjithmbarshëm i shpenzimeve kapitale 607,687.51 € ose 63.13 % janë realizuar pranë Drejtoratit për Punë </t>
  </si>
  <si>
    <t>;</t>
  </si>
  <si>
    <t>Administrata dhe personeli me</t>
  </si>
  <si>
    <t>etj.</t>
  </si>
  <si>
    <t>BUXHETI I REALIZUAR KOMUNAL PËR PERIUDHËN</t>
  </si>
  <si>
    <t>92095 - ARSIMI - ADMINISTRATA</t>
  </si>
  <si>
    <t>92570 - ARSIMI PARASHKOLLOR - QERDHET</t>
  </si>
  <si>
    <t xml:space="preserve">Participim </t>
  </si>
  <si>
    <t xml:space="preserve"> nga planifikimi vjetor . </t>
  </si>
  <si>
    <t>65095 - GJEODEZI DHE KADASTËR</t>
  </si>
  <si>
    <t>Taksa për regjistrimin e trashigimisë</t>
  </si>
  <si>
    <t>Licenca për shërbim privat të sigurimeve</t>
  </si>
  <si>
    <t>Gjatë periudhës janar - mars të vitit 2012 dinamika dhe struktura e të hyrave të realizuara vetanake  shënon ecuri të ndryshme</t>
  </si>
  <si>
    <t xml:space="preserve"> si në raport me planifikimin për vitin 2012 , poashtu edhe në raport me planin dinamik për periudhën janar - mars të vitit 2012 dhe realizimin</t>
  </si>
  <si>
    <t xml:space="preserve"> gjatë periudhës janar - mars të vitit 2011 .</t>
  </si>
  <si>
    <t xml:space="preserve"> është më e ngadalshme për 7.02 % .</t>
  </si>
  <si>
    <t xml:space="preserve"> pranë këtij Drejtorati , të cilat në fund të periudhës raportuese arrijnë shumën prej 26,943.00 € , duke shënuar realizim të planit për vitin </t>
  </si>
  <si>
    <t xml:space="preserve"> 2012 në lartësi prej 44.91 % dhe dinamikë më të ngadalshme në raport me periudhën krahasuese për 13.89 % .</t>
  </si>
  <si>
    <t xml:space="preserve">                  Nga Taksat për regjistrim të trashigimisë gjatë periudhës raportuese janë grumbulluar 34.06 % të të hyrave të gjithmbarshme</t>
  </si>
  <si>
    <t xml:space="preserve">                  Nga licencat për shërbim privat të sigurimeve janë grumbulluar 19,440.00 € , gjegjësisht 24.58 % të të hyrave të </t>
  </si>
  <si>
    <t xml:space="preserve"> totale pranë këtij Drejtorati . Në raport me periudhën krahasuese dinamika e tyre është më e ngadalshme për 26.92 % .</t>
  </si>
  <si>
    <t xml:space="preserve">                  Nga taksat administrative për fletëkërkesë janë grumbulluar 13,209.00 € , gjegjësisht 16.70 % të të hyrave të gjithmbarshme</t>
  </si>
  <si>
    <t xml:space="preserve"> pranë këtij Drejtorati . Në raport me periudhën krahasuese dinamika e tyre është më e shpejtë për 62.07 % .</t>
  </si>
  <si>
    <t xml:space="preserve">Taksat për matjen e tokës në teren përbëjnë 24.66 % të të hyrave të grumbulluara pranë këtij Drejtorati dhe në fund të </t>
  </si>
  <si>
    <t xml:space="preserve"> periudhës raportuese arrijnë shumën prej19,509.25 € .</t>
  </si>
  <si>
    <t xml:space="preserve"> shpenzimeve të Buxhetit Komunal ky Drejtorat merr pjesë me 0.63 % .</t>
  </si>
  <si>
    <t xml:space="preserve">                  Pagat dhe meditjet për periudhën raportuese kapin shumën prej  29,772.80 € . Në krahasim me periudhën janar - qershor të vitit</t>
  </si>
  <si>
    <t xml:space="preserve"> 2011 pagesat për këtë kategori shënojnë dinamikë më të shpejtë për 12.08 % , ndërsa plani për vitin 2012 është realizuar 38.03 % .</t>
  </si>
  <si>
    <t xml:space="preserve">                  Në shumën e gjithmbarshme të shpenzimeve buxhetore pagat dhe meditjet marrin pjesë me 64.97 % .</t>
  </si>
  <si>
    <t xml:space="preserve">                  Në emër të mallrave dhe shërbimeve janë shpenzuar 16,051.68 € ose 35.03 % të shpenzimeve të gjithmbarshme . Në raport </t>
  </si>
  <si>
    <t xml:space="preserve"> me periudhën krahasuese dinamika e tyre është më e shpejtë për 78.50 % dhe paraqesin tejkalim të planit për vitin raportues 15.48 % .</t>
  </si>
  <si>
    <t xml:space="preserve">                     Gjatë periudhës janar - qershor të vitit 2012 janë realizuar të hyra vetanake në vlerë prej 3,882.18 €</t>
  </si>
  <si>
    <t xml:space="preserve"> Shpenzimet e gjithmbarshme buxhetore për gjashtëmujorin e parë të vitit 2012 kapin shumën prej 11,160.01 € ose 36.00 % nga</t>
  </si>
  <si>
    <t xml:space="preserve">                   Në shumën e gjithmbarshme të shpenzimeve buxhetore pagat dhe meditjet marrin pjesë me 74.94 % .</t>
  </si>
  <si>
    <t xml:space="preserve">                  Në emër të mallrave dhe shërbimeve janë shpenzuar 2,796.16 € ose 25.06 % të shpenzimeve të gjithmbarshme . Në raport </t>
  </si>
  <si>
    <t xml:space="preserve">                  Pagat dhe meditjet për periudhën raportuese kapin shumën prej  48,444.97 € . Në krahasim me periudhën janar - qershor të vitit 2011</t>
  </si>
  <si>
    <t xml:space="preserve"> pagesat për këtë kategori shënojnë dinamikë më të shpejtë për 6.94 % , ndërsa plani për vitin 2012 është realizuar 40.04 % .</t>
  </si>
  <si>
    <t xml:space="preserve">                  Në shumën e gjithmbarshme të shpenzimeve buxhetore pagat dhe meditjet marrin pjesë me  60.09 % .</t>
  </si>
  <si>
    <t xml:space="preserve">                  Në emër të mallrave dhe shërbimeve janë shpenzuar 32,176.45 € ose 39.91 % të shpenzimeve të gjithmbarshme . Në raport me</t>
  </si>
  <si>
    <t xml:space="preserve"> periudhën e njajtë të vitit 2011 pagesat për mallra dhe shërbime shënojnë dinamikë më të shpejtë për 17.76 % dhe paraqesin realizim</t>
  </si>
  <si>
    <t xml:space="preserve"> të planit për vitin 2012 në lartësi prej 59.04 % . </t>
  </si>
  <si>
    <t>Të hyrat vetanake gjatë periudhës raportuese janë realizuar nga taksa për pjesëmarrje në tender .</t>
  </si>
  <si>
    <t xml:space="preserve"> është më e shpejtë për 3.00 % .</t>
  </si>
  <si>
    <t xml:space="preserve">Shpenzimet e gjithmbarshme buxhetore për gjashtë muaj të vitit 2012 kapin shumën prej 13,198.04 € gjegjësisht 35.98 % më </t>
  </si>
  <si>
    <t xml:space="preserve"> shumë se në periudhën e njajtë të vitit paraprak , ndërsa plani për vitin 2012 është realizuar 37.71 % . Në shumën e gjithmbarshme të </t>
  </si>
  <si>
    <t xml:space="preserve">                  Pagat dhe meditjet në periudhën raportuese kapin shumën prej 10,841.36 € . Në krahasim me periudhën janar - qershor të vitit 2011</t>
  </si>
  <si>
    <t xml:space="preserve"> pagesat për këtë kategori shënojnë dinamikë më të shpejtë për 11.70 % , ndërsa plani për vitin 2012 është realizuar 36.14 % .</t>
  </si>
  <si>
    <t xml:space="preserve">                  Në shumën e gjithmbarshme të shpenzimeve buxhetore pagat dhe meditjet marrin pjesë me  82.14 % .</t>
  </si>
  <si>
    <t xml:space="preserve">                  Në emër të mallrave dhe shërbimeve janë shpenzuar 2,356.68 € ose 17.86 % të shpenzimeve të gjithmbarshme . </t>
  </si>
  <si>
    <t>Gjatë periudhës janar - qershor të vitit 2012 shpenzimet e gjithmbarshme buxhetore kapin shumën prej 60,424.45 € respektivisht</t>
  </si>
  <si>
    <t xml:space="preserve">  42.08 % nga planifikimi vjetor . Në raport me periudhën e njajtë të vitit paraprak dinamika e tyre është më e shpejtë për 6.94 % .</t>
  </si>
  <si>
    <t xml:space="preserve">                  Pagat dhe meditjet në periudhën raportuese kapin shumën prej 58,295.50 € . Në krahasim me periudhën janar - qershor të vitit 2011</t>
  </si>
  <si>
    <t xml:space="preserve"> pagesat për këtë kategori shënojnë dinamikë më të shpejtë për 3.18 % , ndërsa plani për vitin 2012 është realizuar 42.06 % .</t>
  </si>
  <si>
    <t xml:space="preserve"> Donatorët e brendshëm</t>
  </si>
  <si>
    <t>32-99</t>
  </si>
  <si>
    <t xml:space="preserve"> Donacionet e jashtme</t>
  </si>
  <si>
    <t xml:space="preserve"> Totali :</t>
  </si>
  <si>
    <t xml:space="preserve"> (në euro )</t>
  </si>
  <si>
    <t>Zyra e kryetarit</t>
  </si>
  <si>
    <t xml:space="preserve">Administrata dhe personeli </t>
  </si>
  <si>
    <t>Inspeksioni</t>
  </si>
  <si>
    <t>Prokurimi</t>
  </si>
  <si>
    <t>Asambleja komunale</t>
  </si>
  <si>
    <t>Buxhet e financa</t>
  </si>
  <si>
    <t>Punë komunale,shërbime teknike</t>
  </si>
  <si>
    <t>Emergjenca - zjarrëfikësat</t>
  </si>
  <si>
    <t>Zyra lokale e komuniteteve</t>
  </si>
  <si>
    <t>Bujqësi , pylltari , zhvillim rural</t>
  </si>
  <si>
    <t>Zhvillim ekonomik</t>
  </si>
  <si>
    <t>Gjeodezi dhe kadastër</t>
  </si>
  <si>
    <t>Shërbimet pronësoro - juridike</t>
  </si>
  <si>
    <t>Planifikimi urban dhe mjedisi</t>
  </si>
  <si>
    <t>Shëndetësia</t>
  </si>
  <si>
    <t xml:space="preserve"> - Administrata</t>
  </si>
  <si>
    <t xml:space="preserve"> - Kujdesi primar shëndetsor</t>
  </si>
  <si>
    <t xml:space="preserve"> - Shërbimet Sociale</t>
  </si>
  <si>
    <t xml:space="preserve"> - Performanca në shëndetësi</t>
  </si>
  <si>
    <t>Kulturë , Rini ,Sport</t>
  </si>
  <si>
    <t>Arsimi</t>
  </si>
  <si>
    <t xml:space="preserve"> - Arsimi parashkollor - Qerdhet</t>
  </si>
  <si>
    <t xml:space="preserve"> - Arsimi fillor</t>
  </si>
  <si>
    <t xml:space="preserve"> - Arsimi i mesëm</t>
  </si>
  <si>
    <t>Totali :</t>
  </si>
  <si>
    <t>Kodi</t>
  </si>
  <si>
    <t>ekonomik</t>
  </si>
  <si>
    <t>Periudhën raportuese e karakterizon përqindje e ulët e realizimit në raport me planifikimin për vitin 2012 gjegjësisht 3.67 % .</t>
  </si>
  <si>
    <t xml:space="preserve">                      Investimet e gjithmbarshme për tre muaj të vitit raportues u përkasin projekteve të mëposhtme :</t>
  </si>
  <si>
    <t xml:space="preserve">% </t>
  </si>
  <si>
    <t>Zyra e Kryetarit :</t>
  </si>
  <si>
    <t>Pagat neto përmes listës së pagave</t>
  </si>
  <si>
    <t>Punëorët me kontratë ( jo në listën e pagave )</t>
  </si>
  <si>
    <t>Donacionet ( Save the children )</t>
  </si>
  <si>
    <t xml:space="preserve"> donacione nga Save the children .</t>
  </si>
  <si>
    <t xml:space="preserve">                     Duhet cekë se gjatë periudhës janar - mars të vitit 2012 shpenzimet tek të gjitha  Drejtoritë shënojnë dinamikë më të shpejtë</t>
  </si>
  <si>
    <t xml:space="preserve"> në raport me periudhën krahasuese dhe sillen prej 7.10 % tek nënprogrami - Administrata e Shëndetësisë deri në 1.043.62 % te Arsimi - </t>
  </si>
  <si>
    <t xml:space="preserve"> Administrata .</t>
  </si>
  <si>
    <t xml:space="preserve">                     Në shumën e gjithmbarshme të shpenzimeve për  periudhën janar - mars të vitit 2012 kategoritë e ndryshme buxhetore shënojnë</t>
  </si>
  <si>
    <t xml:space="preserve"> dinamikë të ndryshme si në raport me realizimin gjatë periudhës janar - mars të vitit 2011 , poashtu edhe në raport me planifikimin për vitin</t>
  </si>
  <si>
    <t xml:space="preserve"> raportues .</t>
  </si>
  <si>
    <t xml:space="preserve">                 Dinamika e shpenzimeve gjatë tre muajve të vitit 2012 si dhe raporti me periudhën krahasuese mund të përcjellet nga pasqyrimi</t>
  </si>
  <si>
    <t xml:space="preserve"> i mëposhtëm tabelar .</t>
  </si>
  <si>
    <t>Zyra e Kryetarit me</t>
  </si>
  <si>
    <t>29.49% ;</t>
  </si>
  <si>
    <t>Emergjenca - Zjarrëfikësat me</t>
  </si>
  <si>
    <t xml:space="preserve">                      Dinamika dhe struktura e të hyrave të grumbulluara  mund të përcjellet nga pasqyra tabelare , por , vlen të ceket se të hyrat </t>
  </si>
  <si>
    <t xml:space="preserve">e realizuara nga tatimi në pronë paraqet 28.66 % të shumës së gjithmbarshme të të hyrave të grumbulluara . Sipas lartësisë së pjesëmarrjes </t>
  </si>
  <si>
    <t>pason kompenzimi për rregullimin e tokës ndërtimore me 19.23 % , licencat e ndryshme afariste me 8.73 % , licencat e veturave me 6.05 % ,</t>
  </si>
  <si>
    <t xml:space="preserve"> taksat administrative me 5.06 % , e kështu me radhë .</t>
  </si>
  <si>
    <t>Dinamika dhe struktura e të hyrave të grumbulluara nëpër Drejtorate shënon këtë ecuri :</t>
  </si>
  <si>
    <t>14.54% ;</t>
  </si>
  <si>
    <t>Planifikimi urban dhe mjedisi me</t>
  </si>
  <si>
    <t>9.03% ;</t>
  </si>
  <si>
    <t>dhe</t>
  </si>
  <si>
    <t>Zhvillimi ekonomik me</t>
  </si>
  <si>
    <t>4.71% .</t>
  </si>
  <si>
    <t>Ndërtesat</t>
  </si>
  <si>
    <t>Ndërtesat e banimit</t>
  </si>
  <si>
    <t>Ndërtesat administrative afariste</t>
  </si>
  <si>
    <t xml:space="preserve">                 Komuna e Pejës sipas planit për vitin fiskal 2012 ka planifikuar të hyra vetanake në vlerë prej 2,634,920 € . Gjatë periudhës</t>
  </si>
  <si>
    <t xml:space="preserve"> janar - mars të vitit 2012 janë realizuar 19.73% të të hyrave të planifikuara,gjegjësisht 519,843.24 €. Në krahasim me periudhën janar - mars </t>
  </si>
  <si>
    <t xml:space="preserve"> të vitit 2011 dinamika e të hyrave të arkëtuara është më e ulët për 8.84 % ndërsa plani për periudhën raportuese është tejkaluar 2.12 % .</t>
  </si>
  <si>
    <t>Komente nga Zyra e Kryetarit</t>
  </si>
  <si>
    <t>Gjithsej ( I+II )</t>
  </si>
  <si>
    <t xml:space="preserve">                     Subvencionet për Entitete jopublike shënojnë rritje për 209.10 % në krahasim me tremujorin e parë të vitit 2011 dhe arrijnë</t>
  </si>
  <si>
    <t xml:space="preserve"> shumën prej 64,030.00 € .</t>
  </si>
  <si>
    <t xml:space="preserve">                      Të hyrat e lartëcekura janë realizuar nga qiraja nga objektet publike .</t>
  </si>
  <si>
    <t xml:space="preserve">                       Shpenzimi i buxhetit për tre muaj është si vijon :</t>
  </si>
  <si>
    <t>DREJTORATI PËR  BUXHET E FINANCA</t>
  </si>
  <si>
    <t xml:space="preserve">   RAPORTI  </t>
  </si>
  <si>
    <t>I  TË HYRAVE DHE SHPENZIMEVE TË REALIZUARA BUXHETORE</t>
  </si>
  <si>
    <t xml:space="preserve">Raporti i buxhetit të realizuar Komunal për periudhën </t>
  </si>
  <si>
    <t xml:space="preserve">                  </t>
  </si>
  <si>
    <t>Zyra e Kryetarit</t>
  </si>
  <si>
    <t>Inspekcioni</t>
  </si>
  <si>
    <t>62</t>
  </si>
  <si>
    <t>1033</t>
  </si>
  <si>
    <t>441</t>
  </si>
  <si>
    <t>920</t>
  </si>
  <si>
    <t>Numri aktual</t>
  </si>
  <si>
    <t xml:space="preserve">Plan.dinamik </t>
  </si>
  <si>
    <t xml:space="preserve">Realizimi </t>
  </si>
  <si>
    <t xml:space="preserve">Participimi I qytetarëve në projekte </t>
  </si>
  <si>
    <t>Kompenz.për rregull.e tokës ndertimore</t>
  </si>
  <si>
    <t>Kompen. për shrytëz.e tokës ndertimore</t>
  </si>
  <si>
    <t>Përkufizimi I objektit për ndërtim</t>
  </si>
  <si>
    <t>Taksat nga aktivitetet tjera kult.sportive</t>
  </si>
  <si>
    <t>Licenc.për taksi udhëtar. dhe transport.</t>
  </si>
  <si>
    <t>Vertet.të ndryshme dhe leje për itenerar</t>
  </si>
  <si>
    <t>Vlerësime për hipot.bankare dhe vert. tj.</t>
  </si>
  <si>
    <t>Të hyr.nga punët e shërb.Kom.dhe park.</t>
  </si>
  <si>
    <t>Licenca,reklama publike në pronë publ.</t>
  </si>
  <si>
    <t>Të hyr.nga komis.për kushte min.Tek.San.</t>
  </si>
  <si>
    <t xml:space="preserve">Çertif. për ndrrimin e destinac. të tokës </t>
  </si>
  <si>
    <t>Inspektimet e veterinarisë</t>
  </si>
  <si>
    <t xml:space="preserve">Çertifikatat për transportin e kafshëve </t>
  </si>
  <si>
    <t>Participimi nga arsimi i mesëm</t>
  </si>
  <si>
    <t>Participimi nga arsimi fillor</t>
  </si>
  <si>
    <t>Participimi nga arsimi parash. - qerdhet</t>
  </si>
  <si>
    <t>Raporti i të Hyrave Vetanake për periudhën janar - mars  të vitit 2012</t>
  </si>
  <si>
    <t>T O T A L I :</t>
  </si>
  <si>
    <t>S U P T O T A L I :</t>
  </si>
  <si>
    <t>Pelqimi për eksploat. e resurs.natyrore</t>
  </si>
  <si>
    <t>Kontrolli teknik i aparat.të zjarrëfikës.</t>
  </si>
  <si>
    <t>% e</t>
  </si>
  <si>
    <t>drejtorive</t>
  </si>
  <si>
    <t xml:space="preserve"> 6 / 3</t>
  </si>
  <si>
    <t xml:space="preserve"> 6/ 4</t>
  </si>
  <si>
    <t xml:space="preserve"> 6/ 5</t>
  </si>
  <si>
    <t xml:space="preserve">Realizimi                 </t>
  </si>
  <si>
    <t xml:space="preserve">PËR PERIUDHËN </t>
  </si>
  <si>
    <t>1</t>
  </si>
  <si>
    <t>2</t>
  </si>
  <si>
    <t>3</t>
  </si>
  <si>
    <t>63550009</t>
  </si>
  <si>
    <t>635504051</t>
  </si>
  <si>
    <t>635502122</t>
  </si>
  <si>
    <t>63550408</t>
  </si>
  <si>
    <t>635500160</t>
  </si>
  <si>
    <t>63550018</t>
  </si>
  <si>
    <t>Taksa për fotokopjim të dokumentave</t>
  </si>
  <si>
    <t>635500201</t>
  </si>
  <si>
    <t>Taksat për Tender</t>
  </si>
  <si>
    <t>635500081</t>
  </si>
  <si>
    <t>50409</t>
  </si>
  <si>
    <t>Të Hyrat nga Salla e Leximit - Biblioteka</t>
  </si>
  <si>
    <t>0.00</t>
  </si>
  <si>
    <t>63550211</t>
  </si>
  <si>
    <t>63550206</t>
  </si>
  <si>
    <t>500.00</t>
  </si>
  <si>
    <t>Duke u bazuar në Ligjin mbi menaxhimin e financave publike dhe përgjegjësitë (Nr. 03/L-048) Drejtorati për Buxhet e financa është i</t>
  </si>
  <si>
    <t xml:space="preserve"> obliguar ti dorrëzoj Raportet tremujore të Buxhetit për vitin fiskal .</t>
  </si>
  <si>
    <t>Raporti I Buxhetit Komunal për periudhën janar - mars të vitit 2012 bëhet në bazë të kërkesave për raportim periodik dhe vjetor,</t>
  </si>
  <si>
    <t>TË HYRAT VETANAKE TË REALIZUARA GJATË PERIUDHËS</t>
  </si>
  <si>
    <t>Shërb.të ndryshme intelekt. dhe këshillëdh.</t>
  </si>
  <si>
    <t>Taksë administrative për fletëkërkesë</t>
  </si>
  <si>
    <t xml:space="preserve">                       - Mjetet e bartura                             0.17 % dhe</t>
  </si>
  <si>
    <t xml:space="preserve">                  Në emër të mallrave dhe shërbimeve janë shpenzuar 1,466,024.86 € ose 20.01 % të shpenzimeve të gjithmbarshme . Në raport</t>
  </si>
  <si>
    <t xml:space="preserve"> dinamikë të ndryshme si në raport me realizimin gjatë periudhës janar - qershor të vitit 2011 , poashtu edhe në raport me planifikimin për vitin</t>
  </si>
  <si>
    <t xml:space="preserve"> periudhën janar - qershor të vitit 2011, poashtu edhe në raport me planifikimin vjetor për vitin 2012 .</t>
  </si>
  <si>
    <t>Renovimi në Gjimnazin "8 Marsi dhe Hil Mosi "</t>
  </si>
  <si>
    <t xml:space="preserve">                  Në pajtim me Ligjin Nr. 04/L-079 për Buxhetin e Republikës së Kosovës për vitin 2012 , Buxheti Komunal për periudhën </t>
  </si>
  <si>
    <t xml:space="preserve"> informimit sa më objektiv mbi dinamikën dhe strukturën e mjeteve të planifikuara dhe realizimin e tyre sipas kategorive të përcaktuara</t>
  </si>
  <si>
    <t xml:space="preserve"> buxhetore. Të dhënat në analizë janë dhënë në valuten euro dhe janë të krahasueshme me mjetet e shpenzuara gjatë periudhës janar - mars </t>
  </si>
  <si>
    <t xml:space="preserve">                 Shpenzimet e gjithmbarshme të Buxhetit Komunal për periudhën janar - mars të vitit 2012 kapin shumën prej 3,064,462.54 €</t>
  </si>
  <si>
    <t xml:space="preserve"> dhe paraqesin realizimin e planit vjetor 16.85 % ndërsa në raport me periudhën krahasuese shënojnë dinamikë më të shpejtë për 90.85 % .</t>
  </si>
  <si>
    <t xml:space="preserve">                      Sipas kategorive ekonomike ,  shpenzimet e realizuara gjatë periudhës janar - mars  të vitit 2012 kanë ecuri të ndryshme , si në </t>
  </si>
  <si>
    <t xml:space="preserve"> raport me planifikimin për vitin 2012 , poashtu edhe në raport me realizimin për periudhën krahasuese .</t>
  </si>
  <si>
    <t xml:space="preserve">                      Nga tabela që vijon mund të përcjellet dinamika dhe struktura e realizimit të buxhetit sipas Drejtorive për të gjitha kategoritë</t>
  </si>
  <si>
    <t xml:space="preserve"> buxhetore, sipas periudhave dhe në raport me planifikimin vjetor.</t>
  </si>
  <si>
    <t>Naftë për ngrohje qendrore</t>
  </si>
  <si>
    <t>Vaj për ngrohje qendrore</t>
  </si>
  <si>
    <t>Dru</t>
  </si>
  <si>
    <t>Derivate për gjenerator</t>
  </si>
  <si>
    <t>Karburant për vetura</t>
  </si>
  <si>
    <t>Llogaritë e avansit</t>
  </si>
  <si>
    <t>Avans për udhëtime zyrtare</t>
  </si>
  <si>
    <t>Shërbimet financiare</t>
  </si>
  <si>
    <t>Provizioni bankar - Raiffeisen Bank</t>
  </si>
  <si>
    <t>Regjistrimi I automjeteve</t>
  </si>
  <si>
    <t>Sigurimi i automjeteve</t>
  </si>
  <si>
    <t>Sigurimi i ndërtesave</t>
  </si>
  <si>
    <t>Mirëmbajtja</t>
  </si>
  <si>
    <t>Mirëmbajtja dhe riparimi automjeteve</t>
  </si>
  <si>
    <t>Mirëmbajtja e ndërtesave</t>
  </si>
  <si>
    <t>Mirëmbajtja e shkollave</t>
  </si>
  <si>
    <t>Mirëmbajtja e auto rrugëve</t>
  </si>
  <si>
    <t>Mirëmbajtja e autorrugëve lokale</t>
  </si>
  <si>
    <t>Mirëmbajtja e teknologjisë informative</t>
  </si>
  <si>
    <t>Mirëmbajtja e mobileve dhe paisjeve</t>
  </si>
  <si>
    <t>Qiraja</t>
  </si>
  <si>
    <t>Qiraja për depo</t>
  </si>
  <si>
    <t>Qiraja për paisje</t>
  </si>
  <si>
    <t>Qiraja për përdorime tjera hapsinore</t>
  </si>
  <si>
    <t>Shpenzimet e marketingut</t>
  </si>
  <si>
    <t>Reklamat dhe konkurset</t>
  </si>
  <si>
    <t>Botimet e publikimeve</t>
  </si>
  <si>
    <t>Shpenzimet për informim publik</t>
  </si>
  <si>
    <t>Shpenzimet e përfaqësimit</t>
  </si>
  <si>
    <t>Shpenzimet e përfaqës - Drekat zyrtare</t>
  </si>
  <si>
    <t>Shpenzimet - Vendimet e gjykatave</t>
  </si>
  <si>
    <t>Përdorime tjera të hapsirës</t>
  </si>
  <si>
    <t xml:space="preserve">                                        - Drejtorati për Shëndetësi me 29.80 % . </t>
  </si>
  <si>
    <t xml:space="preserve">                                        - Drejtorati i Arsimit me 25.55 % dhe </t>
  </si>
  <si>
    <t xml:space="preserve">                                        - Drejtorati i Administratës dhe personelit me 13.45 % .</t>
  </si>
  <si>
    <t>SHPENZIMET KOMUNALE</t>
  </si>
  <si>
    <t>Granti qeveritar</t>
  </si>
  <si>
    <t>Mjetet e bartura</t>
  </si>
  <si>
    <t xml:space="preserve"> Rryma</t>
  </si>
  <si>
    <t xml:space="preserve"> Uji</t>
  </si>
  <si>
    <t xml:space="preserve"> Mbeturinat</t>
  </si>
  <si>
    <t xml:space="preserve"> Telefoni</t>
  </si>
  <si>
    <t xml:space="preserve">                 Dinamika dhe struktura e pagesave për shpenzimekomunale gjatë tremujorit të parë të vitit 2012 mund të </t>
  </si>
  <si>
    <t>përcjellet nga pasqyrimi I mësipërm tabelar .</t>
  </si>
  <si>
    <t>TRANSFERET DHE SUBVENCIONET</t>
  </si>
  <si>
    <t xml:space="preserve"> Donatorë e brendshëm</t>
  </si>
  <si>
    <t>Subvencionet për Entitete Publike</t>
  </si>
  <si>
    <t>Subv.për Entit.Publike(teatër,bibliotekë..)</t>
  </si>
  <si>
    <t>Subvencionet për Entitete Jopublike</t>
  </si>
  <si>
    <t>Transfere për qeveri tjera</t>
  </si>
  <si>
    <t>Pagesat për përfitues individual</t>
  </si>
  <si>
    <t>Pëlqimi për eksploatimin e resurseve natyrore</t>
  </si>
  <si>
    <t>Licenca për shërbime profesionale</t>
  </si>
  <si>
    <t>Licenca për transport të mallrave</t>
  </si>
  <si>
    <t xml:space="preserve"> bazuar në dispozitat e nenit 50 , 51 dhe 55 të Ligjit nr. 2003 / 2 "Për menaxhimin e financave publike dhe përgjegjësitë " dhe Statutin e Kuvendit</t>
  </si>
  <si>
    <t xml:space="preserve"> Komunal Pejë . </t>
  </si>
  <si>
    <t xml:space="preserve">                     Raporti ka  për  qëllim informimin sa më  objektiv  lidhur  me ecurinë  dhe  me  treguesit  relevant  rreth përmbushjes së planit dhe të</t>
  </si>
  <si>
    <t xml:space="preserve"> grumbullimit  të mjeteve sipas burimeve, përmbushjes së obligimeve të  planifikuara sipas planprogrameve , dinamikën dhe strukturën e mjeteve</t>
  </si>
  <si>
    <t xml:space="preserve">            19595  -  ZYRA LOKALE E KOMUNITETEVE</t>
  </si>
  <si>
    <t xml:space="preserve"> në periudhën e njajtë të vitit 2011 .</t>
  </si>
  <si>
    <t>Kompjuter</t>
  </si>
  <si>
    <t xml:space="preserve"> 3 / 1</t>
  </si>
  <si>
    <t xml:space="preserve"> 3 / 2</t>
  </si>
  <si>
    <t xml:space="preserve">Kodi  </t>
  </si>
  <si>
    <t>i</t>
  </si>
  <si>
    <t>projektit</t>
  </si>
  <si>
    <t>Blerja e pronave të ekspropijuara</t>
  </si>
  <si>
    <t>Participimi në projekte me donator dhe ministri</t>
  </si>
  <si>
    <t>Automjeti</t>
  </si>
  <si>
    <t>Softwer</t>
  </si>
  <si>
    <t>Shenjat e komunikacionit</t>
  </si>
  <si>
    <t>Strukturat tjera - mirëmbajtja e ndriçimit publik</t>
  </si>
  <si>
    <t>Kapitalet e imëta</t>
  </si>
  <si>
    <t>Kapitale tjera - mirëmbajtje dimërore</t>
  </si>
  <si>
    <t>Kapitale tjera - mirëmbajtje verore</t>
  </si>
  <si>
    <t>Kapitale tjera - larja - fshirja e rrugëve</t>
  </si>
  <si>
    <t>Participimi në projekte për minoritete</t>
  </si>
  <si>
    <t>Analiza mbi shpenzimet e realizuara të buxhetit komunal për periudhën janar - qershor të vitit 2012 është punuar me qëllim të</t>
  </si>
  <si>
    <t xml:space="preserve"> buxhetore. Të dhënat në analizë janë dhënë në valuten euro dhe janë të krahasueshme me mjetet e shpenzuara gjatë periudhës janar - qershor </t>
  </si>
  <si>
    <t xml:space="preserve"> janar -qershor 2012 duket si vijon :</t>
  </si>
  <si>
    <t xml:space="preserve"> dhe paraqesin realizimin e planit vjetor 40.29 % ndërsa në raport me periudhën krahasuese shënojnë dinamikë më të shpejtë për 9.24 % .</t>
  </si>
  <si>
    <t xml:space="preserve">                     Pagesat për përfitues individual shënojnë tejkalim të planit për tremujorin e parë për 227.33 % dhe në fund të periudhës</t>
  </si>
  <si>
    <t xml:space="preserve"> raportuese arrijnë shumën prej 98,200.00 € .</t>
  </si>
  <si>
    <t xml:space="preserve">                     Nga pasqyrimi i mëposhtëm tabelar mund të përcjellet dinamika e planifikimit dhe realizimit të shpenzimeve për transfere dhe</t>
  </si>
  <si>
    <t>Në dinamikën e mallrave dhe shërbimeve kanë ndikuar :</t>
  </si>
  <si>
    <t xml:space="preserve">                    Obligimet e kryera të vitit paraprak ;</t>
  </si>
  <si>
    <t xml:space="preserve">                    Shpenzimet e mirëmbajtjes së objekteve ( sigurimi dhe pastrimi ) si dhe </t>
  </si>
  <si>
    <t xml:space="preserve">                    Ngritja e çmimit për derivate .</t>
  </si>
  <si>
    <t xml:space="preserve">Obligimet për mallra dhe shërbime të bartura nga viti paraprak arrijnë shumën prej 54,903.68 € dhe në shumën e gjithmbarshme të </t>
  </si>
  <si>
    <t xml:space="preserve"> pagesave për mallra dhe shërbime ky burim i financimit merr pjesë me17.73 % .</t>
  </si>
  <si>
    <t xml:space="preserve">                  Gjatë periudhës janar - qershor të vitit 2012 Drejtorati për Kulturë , rini dhe sport ka  realizuar të hyra vetanake në vlerë prej </t>
  </si>
  <si>
    <t xml:space="preserve">                     Bartës i shpenzimeve për transfere dhe subvencione është Zyra e Kryetarit dhe të njajtat janë për 243.09 % më të larta në</t>
  </si>
  <si>
    <t xml:space="preserve"> krahasim me periudhën janar - mars të vitit 2011 .</t>
  </si>
  <si>
    <t xml:space="preserve">                     Për tre muaj të vitit 2012 nga Buxheti komunal janë shpenzuar për investime kapitale mjete në vlerë prej  189,458.98 € , që është</t>
  </si>
  <si>
    <t xml:space="preserve"> për 1,135.07 % më shumë se në periudhën e njajtë të vitit 2011 .</t>
  </si>
  <si>
    <t xml:space="preserve">                     Financimi i kësaj kategorie buxhetore është bërë nga burimet e mëposhtme :</t>
  </si>
  <si>
    <t xml:space="preserve">                     Burimi kryesor i financimit të investimeve kapitale janë mjetet e bartura , të cilat kapin shumën prej 92,648.10 €  dhe përbëjnë</t>
  </si>
  <si>
    <t xml:space="preserve"> 48.90 % të shpenzimit të gjithmbarshëm për tremujorin e parë të vitit 2012 . Shikuar sipas Drejtorive ecuria e tyre është si vijon :</t>
  </si>
  <si>
    <t xml:space="preserve">                     Nga planifikimi i gjithmbarshëm i shpenzimeve kapitale 80,000.00 € ose 42.23 % janë realizuar pranë Drejtoratit për Punë </t>
  </si>
  <si>
    <t xml:space="preserve"> komunale dhe shërbime teknike . Sipas lartësisë së pjesëmarrjes pasojnë :</t>
  </si>
  <si>
    <t xml:space="preserve">ÇertifIikata për ndrrimin e destinacion.të tokës </t>
  </si>
  <si>
    <t>Subv.për Entitete publike ( teatër , bibliotekë..)</t>
  </si>
  <si>
    <t>Pensionet për persona me aftësi të kufizuar</t>
  </si>
  <si>
    <t>Furniz.me rrymë,gjenerim dhe transmision</t>
  </si>
  <si>
    <t>Furnizim me rrymë, gjenerim dhe transmision</t>
  </si>
  <si>
    <t>Të hyrat nga denimet Mandatore</t>
  </si>
  <si>
    <t>63550012</t>
  </si>
  <si>
    <t>635500121</t>
  </si>
  <si>
    <t>635500122</t>
  </si>
  <si>
    <t>635500123</t>
  </si>
  <si>
    <t>63550505</t>
  </si>
  <si>
    <t>1,500.00</t>
  </si>
  <si>
    <t>63550011</t>
  </si>
  <si>
    <t>63550504</t>
  </si>
  <si>
    <t>635505041</t>
  </si>
  <si>
    <t xml:space="preserve">                      Të hyrat e lartëcekura janë realizuar nga participimet .</t>
  </si>
  <si>
    <t xml:space="preserve">                  Në shumën e gjithmbarshme të shpenzimeve buxhetore pagat dhe meditjet marrin pjesë me  96.48 % .</t>
  </si>
  <si>
    <t xml:space="preserve">                  Në emër të mallrave dhe shërbimeve janë shpenzuar 2,128.95 € ose 3.52 % të shpenzimeve të gjithmbarshme . </t>
  </si>
  <si>
    <t xml:space="preserve">Gjatë periudhës janar - qershor të vitit 2012 Drejtorati për Buxhet dhe financa ka grumbulluar të hyra vetanake në vlerë prej </t>
  </si>
  <si>
    <t>Shpenzimet e gjithmbarshme buxhetore për gjashtë muaj të vitit 2012 kapin shumën prej 165,919.33 € gjegjësisht 123.03 %</t>
  </si>
  <si>
    <t xml:space="preserve"> më shumë se në periudhën e njajtë të vitit paraprak , ndërsa plani për vitin 2012 është realizuar 76.46 % . Në shumën e gjithmbarshme të </t>
  </si>
  <si>
    <t xml:space="preserve"> shpenzimeve të Buxhetit Komunal ky Drejtorat merr pjesë me 2.26 % .</t>
  </si>
  <si>
    <t xml:space="preserve">                  Pagat dhe meditjet për periudhën raportuese kapin shumën prej  57,367.92 € . Në krahasim me periudhën janar - qershor të vitit 2011</t>
  </si>
  <si>
    <t xml:space="preserve"> pagesat për këtë kategori shënojnë dinamikë më të shpejtë për 7.75 % , ndërsa plani për vitin 2012 është realizuar 34.77 % .</t>
  </si>
  <si>
    <t xml:space="preserve">                  Në shumën e gjithmbarshme të shpenzimeve buxhetore pagat dhe meditjet marrin pjesë me 34.58 % .</t>
  </si>
  <si>
    <t xml:space="preserve">                  Në emër të mallrave dhe shërbimeve janë shpenzuar 108,551.41 € ose 65.42 % të shpenzimeve të gjithmbarshme . Në raport me</t>
  </si>
  <si>
    <t xml:space="preserve"> periudhën e njajtë të vitit 2011 pagesat për mallra dhe shërbime shënojnë dinamikë më të shpejtë për 438.66 % dhe paraqesin tejkalim të </t>
  </si>
  <si>
    <t>Gjatë periudhës janar - qershor të vitit 2012 Drejtorati për punë komunale , shërbime teknike ka grumbulluar të hyra vetanake në</t>
  </si>
  <si>
    <t xml:space="preserve">  vlerë prej 15,122.63 € respektivisht 18.67 % nga planifikimi vjetor . </t>
  </si>
  <si>
    <t xml:space="preserve"> është më e ngadalshme për 50.55 % .</t>
  </si>
  <si>
    <t xml:space="preserve">                  Nga taksat për parkim publik , kampim dhe rekreacion gjatë periudhës raportuese janë grumbulluar 30.85 % të të hyrave </t>
  </si>
  <si>
    <t xml:space="preserve"> të gjithmbarshme pranë këtij Drejtorati , të cilat në fund të periudhës raportuese arrijnë shumën prej 4,665.00 € , duke shënuar realizim të</t>
  </si>
  <si>
    <t xml:space="preserve"> planit për vitin 2012 në lartësi prej 12.96 % .</t>
  </si>
  <si>
    <t xml:space="preserve">                  Nga licencat,reklamat publike në pronë publike janë grumbulluar 10,457.63 €, gjegjësisht 69.15 % të të hyrave të gjithmbarshme </t>
  </si>
  <si>
    <t xml:space="preserve"> pranë këtij Drejtorati . Në raport me periudhën krahasuese dinamika e tyre është më e ngadalshme për 47.05 % .</t>
  </si>
  <si>
    <t>Shpenzimet e gjithmbarshme buxhetore për gjashtë muaj të vitit 2012 kapin shumën prej 747,526.23 € ose 24.90 % më pak se</t>
  </si>
  <si>
    <t xml:space="preserve"> në periudhën e njajtë të vitit paraprak , ndërsa plani për vitin 2012 është realizuar 20.86 % . Në shumën e gjithmbarshme të </t>
  </si>
  <si>
    <t xml:space="preserve"> shpenzimeve të Buxhetit Komunal ky Drejtorat merr pjesë me 10.20 % .</t>
  </si>
  <si>
    <t xml:space="preserve">                  Pagat dhe meditjet për periudhën raportuese kapin shumën prej  22,319.00 € . Në krahasim me periudhën janar - qershor të vitit</t>
  </si>
  <si>
    <t xml:space="preserve"> 2011 pagesat për këtë kategori shënojnë dinamikë më të shpejtë për 22.41 % , ndërsa plani për vitin 2012 është realizuar 37.20 % .</t>
  </si>
  <si>
    <t xml:space="preserve">                  Në shumën e gjithmbarshme të shpenzimeve buxhetore pagat dhe meditjet marrin pjesë me  2.99 % .</t>
  </si>
  <si>
    <t xml:space="preserve"> me periudhën janar - qershor të vitit 2011 janë më të larta për 9.01 % . Kjo rritje rrjedh nga fakti se vitin 2011 ne muajt Janar dhe Shkurt nuk </t>
  </si>
  <si>
    <t>kane qene te paguara pagat me rritje.</t>
  </si>
  <si>
    <t xml:space="preserve"> mjetete te bartura 314,789.93€, ku shpenzim I realizuar eshte ne vlere prej  293,677.49 €  , të hyrat vetanake me 115,690.63 € respektivisht </t>
  </si>
  <si>
    <t>7.89 % dhe donacionet e jashtme me  41,228.69 € respektivisht 2.81 % .</t>
  </si>
  <si>
    <t xml:space="preserve">35.20% më shumë se në periudhën e njajtë të vitit paraprak , ndërsa plani për vitin 2012 është realizuar 61.19 % . Në shumën </t>
  </si>
  <si>
    <t>e gjithmbarshme të  shpenzimeve të Buxhetit Komunal ky Drejtorat merr pjesë me 5.52 % .</t>
  </si>
  <si>
    <t xml:space="preserve"> tejkalim të planit vjetor 15.32 %, qe rezultojne nga mjetet e bartura për investime kapitale.</t>
  </si>
  <si>
    <t xml:space="preserve"> planit për vitin 2012 për 108.75 %, rezultat I kesaj jane pagesat e obligimeve nga viti I paraprak per te gjitha drejtorite nga mjetet e bartura  . </t>
  </si>
  <si>
    <t xml:space="preserve">Tejkalimi I realizimi te buxhetit rrrjedhe nga Grandi Qeveritar ne shumë prej 70,000.00 nga Ministria e Financave për raste </t>
  </si>
  <si>
    <t>emergjente  dhe mjeteve te bartura nga viti paraprak   ne shume 19,700.00€.</t>
  </si>
  <si>
    <t xml:space="preserve"> 2011 pagesat për këtë kategori shënojnë dinamikë më të shpejtë për 10.78 % , ndërsa plani për vitin 2012 është realizuar 42.98 % .</t>
  </si>
  <si>
    <t xml:space="preserve"> shpenzimeve buxhetore . Në raport me periudhën krahasuese dinamika e tyre është më e ngadalshme për 30.94 % ndërsa plani për vitin </t>
  </si>
  <si>
    <t xml:space="preserve"> raportues është realizuar 56.25 % .</t>
  </si>
  <si>
    <t xml:space="preserve"> të hyrave dhe plani vjetor është realizuar 43.15 % .</t>
  </si>
  <si>
    <t xml:space="preserve"> pagesat për këtë kategori shënojnë dinamikë më të shpejtë për 7.51 % , ndërsa plani për vitin 2012 është realizuar 41.06 % .</t>
  </si>
  <si>
    <t xml:space="preserve">                  Në shumën e gjithmbarshme të shpenzimeve buxhetore pagat dhe meditjet marrin pjesë me  37.57 % .</t>
  </si>
  <si>
    <t xml:space="preserve"> periudhën e njajtë të vitit 2011 pagesat për mallra dhe shërbime shënojnë dinamikë më të shpejtë për 55.58 % dhe paraqesin realizim</t>
  </si>
  <si>
    <t xml:space="preserve"> të planit për vitin 2012 në lartësi prej 88.87 % . </t>
  </si>
  <si>
    <t xml:space="preserve">                  Gjatë periudhës janar - qershor të vitit 2012 janë paguar për shpenzime komunale mjete në vlerë prej 6,789.39 € dhe paraqesin realizim</t>
  </si>
  <si>
    <t xml:space="preserve"> të planit vjetor 61.72 % .</t>
  </si>
  <si>
    <t>Obligimet e bartura nga viti paraprak ( pagesa e obligimeve nga mjetet e bartura të projektevetë vitit 2011 )  , ngritja e çmimeve konkuruese për</t>
  </si>
  <si>
    <t xml:space="preserve"> e shërbimeve .</t>
  </si>
  <si>
    <t xml:space="preserve"> kulmeve të shtëpive të rrezikuara nga të rreshurat e mëdha të borës ) </t>
  </si>
  <si>
    <t>Në dinamikën e realizimit të shpenzimeve për mallra dhe shërbime kanë ndikuar disa faktorë , si :</t>
  </si>
  <si>
    <t xml:space="preserve"> njësi për orë , nga operatorët ekonomik për shërbimet kontraktuese , ngritja e çmimit të derivateve ; kalimi I personelit teknik ( punonjësve</t>
  </si>
  <si>
    <t xml:space="preserve"> teknik të Palestres së sporteve ) nga sektori publik në sektorin privat , me qëllim të zbatimit të politikave institucionale për profesionalizmin </t>
  </si>
  <si>
    <t xml:space="preserve">Organizimi i grupeve rinore - vullnetarëve të rinj gjatë fazës emergjente ( furnizimi i automjeteve me derivate për qarkullim në zbulimin e </t>
  </si>
  <si>
    <t xml:space="preserve"> shpenzimeve buxhetore . Në raport me periudhën krahasuese dinamika e tyre është më e shpejtë për 80.38 % ndërsa plani për vitin </t>
  </si>
  <si>
    <t xml:space="preserve"> raportues është realizuar 80.57 % .</t>
  </si>
  <si>
    <t xml:space="preserve"> shpenzimeve të realizuara për gjashtë muaj të vitit 2012 .</t>
  </si>
  <si>
    <t>Shpenzimet e gjithmbarshme buxhetore për gjashtëmujorin e parë të vitit 2012 kapin shumën prej 266,509.98 € ose 163.02 %</t>
  </si>
  <si>
    <t xml:space="preserve"> më shumë se në periudhën e njajtë të vitit paraprak , ndërsa plani për vitin 2012 është realizuar 48.37 % . </t>
  </si>
  <si>
    <t xml:space="preserve"> 2011 pagesat për këtë kategori shënojnë dinamikë më të shpejtë për 0.71 % , ndërsa plani për vitin 2012 është realizuar 40.50 % .</t>
  </si>
  <si>
    <t xml:space="preserve"> është më e ngadalshme për 6.35 % .</t>
  </si>
  <si>
    <t>Shpenzimet e gjithmbarshme buxhetore për gjashtëmujorin e parë të vitit 2012 kapin shumën prej 139,194.08 € ose 3.11 %</t>
  </si>
  <si>
    <t xml:space="preserve"> më shumë se në periudhën e njajtë të vitit paraprak , ndërsa plani për vitin 2012 është realizuar 44.00 % . </t>
  </si>
  <si>
    <t xml:space="preserve">                Dinamikë më të lartë në raport me periudhën janar - mars të vitit 2011 shënojnë edhe pagesat për investime kapitale ( 1235.07 % )</t>
  </si>
  <si>
    <t xml:space="preserve"> të cilat paraqesin 6.18% të shpenzimeve të gjithmbarshme buxhetore për periudhën raportuese, duke arritur vlerën prej 189,458.98 € .</t>
  </si>
  <si>
    <t xml:space="preserve">                     Kategoria e pagave dhe meditjeve , si u cek edhe më lartë , gjatë tre muajve të vitit 2012 paraqet kategorinë me pjesëmarrje më</t>
  </si>
  <si>
    <t xml:space="preserve"> të lartë në shpenzime të gjithmbarshme buxhetore me 56.52 % . Në fund të periudhës raportuese pagat dhe meditjet arrijnë shumën prej</t>
  </si>
  <si>
    <t xml:space="preserve"> 1,732,007.76 € dhe në raport me periudhën krahasuese janë më të larta për 33.64 % .</t>
  </si>
  <si>
    <t xml:space="preserve">                     Burimet e financimit të shpenzimeve për paga dhe meditje janë :</t>
  </si>
  <si>
    <t xml:space="preserve">                     Bartës i financimit të shpenzimeve për kategorinë e pagave dhe meditjeve janë mjetet e Grantit Qeveritar , të cilat shënojnë rritje</t>
  </si>
  <si>
    <t xml:space="preserve"> për  31.00 % dhe realizim të planit 16.69 % . Në shumë e gjithmbarshme të pagesave për këtë kategori pjesëmarrja e tyre është 97.94 % .</t>
  </si>
  <si>
    <t xml:space="preserve">                      - Të Hyrat vetanake                         1.26 % ;</t>
  </si>
  <si>
    <t xml:space="preserve">                      - Mjetet e bartura                             0.42 % dhe</t>
  </si>
  <si>
    <t xml:space="preserve">                      - Donacionet e jashtme                    0.37 % .</t>
  </si>
  <si>
    <t xml:space="preserve">                     Strukturën e pagave e përbëjnë :</t>
  </si>
  <si>
    <t xml:space="preserve"> Diferenca prej 2.06 % është financuar nga burimet e mëposhtme :</t>
  </si>
  <si>
    <t xml:space="preserve">                     Pagat neto përmes listës së pagave paraqesin 85.84 % të shpenzimeve të gjithmbarshme për paga dhe meditje dhe në krahasim </t>
  </si>
  <si>
    <t xml:space="preserve"> me periudhën janar - mars të vitit 2011 janë më të larta për 31.59 % . </t>
  </si>
  <si>
    <t xml:space="preserve">                     Dinamika e shpenzimeve për paga dhe meditje nëpër Drejtori shënon ecuri të ndryshme , si në raport me periudhën krahasuese</t>
  </si>
  <si>
    <t xml:space="preserve"> poashtu edhe në raport me planifikimin për vitin 2012 .</t>
  </si>
  <si>
    <t xml:space="preserve">              MALLRAT DHE SHËRBIMET</t>
  </si>
  <si>
    <t>Ecuria e realizimit të pagave dhe meditjeve mund të përcjellet nga pasqyrimi I mësipërm tabelar .</t>
  </si>
  <si>
    <t xml:space="preserve"> më shumë se në periudhën e njajtë të vitit paraprak , ndërsa plani për vitin 2012 është realizuar 42.46 % . </t>
  </si>
  <si>
    <t xml:space="preserve"> 2011 pagesat për këtë kategori shënojnë dinamikë më të shpejtë për 9.44 % , ndërsa plani për vitin 2012 është realizuar 42.82 % .</t>
  </si>
  <si>
    <t xml:space="preserve"> shpenzimeve buxhetore . Në raport me periudhën krahasuese dinamika e tyre është më e ngadalshme për 4.32 % ndërsa plani për vitin </t>
  </si>
  <si>
    <t xml:space="preserve"> raportues është realizuar 42.66 % .</t>
  </si>
  <si>
    <t xml:space="preserve">Donacionet nga " Save the children " , në vlerë prej 1,939.60 € janë të destinuara për " Gjithpërfshirjen e fëmijëve me nevoja </t>
  </si>
  <si>
    <t xml:space="preserve"> të veçanta arsimore në institucione " . </t>
  </si>
  <si>
    <t xml:space="preserve"> në raport me periudhën krahasuese , ndërsa plani për vitin 2012 është tejkaluar 44.24 % .</t>
  </si>
  <si>
    <t>Shpenzimet e gjithmbarshme buxhetore për gjashtëmujorin e parë të vitit 2012 kapin shumën prej 943,287.89 € ose 5.83 %</t>
  </si>
  <si>
    <t xml:space="preserve"> më shumë se në periudhën e njajtë të vitit paraprak , ndërsa plani për vitin 2012 është realizuar 42.31 % . </t>
  </si>
  <si>
    <t xml:space="preserve"> 2011 pagesat për këtë kategori shënojnë dinamikë më të shpejtë për 13.73 % , ndërsa plani për vitin 2012 është realizuar 43.63 % .</t>
  </si>
  <si>
    <t xml:space="preserve"> më shumë se në periudhën e njajtë të vitit paraprak , ndërsa plani për vitin 2012 është realizuar 43.74 % . Në shumën e gjithmbarshme të </t>
  </si>
  <si>
    <t xml:space="preserve"> shpenzimeve të Buxhetit Komunal ky Drejtorat merr pjesë me 1.45 % .</t>
  </si>
  <si>
    <t xml:space="preserve">                  Zyra Lokale e Komuniteteve sipas funkcionit që ka nuk krijon të hyra ndërsa shpenzimi i buxhetit për gjashtë muaj është si vijon :</t>
  </si>
  <si>
    <t xml:space="preserve">                   Pagat dhe meditjet për periudhën raportuese kapin shumën prej  14,117.57 € . Në krahasim me periudhën janar - qershor të vitit </t>
  </si>
  <si>
    <t xml:space="preserve"> 2011 pagesat për këtë kategori shënojnë dinamikë më të shpejtë për 14.64 % , ndërsa plani për vitin 2012 është realizuar 35.29 % .</t>
  </si>
  <si>
    <t xml:space="preserve">                   Në shumën e gjithmbarshme të shpenzimeve buxhetore pagat dhe meditjet marrin pjesë me  17.96 % .</t>
  </si>
  <si>
    <t xml:space="preserve">                   Në emër të mallrave dhe shërbimeve janë shpenzuar 15,059.84 € ose 19.16 % të shpenzimeve të gjithmbarshme . Në raport me</t>
  </si>
  <si>
    <t xml:space="preserve"> periudhën e njajtë të vitit 2011 pagesat për mallra dhe shërbime shënojnë dinamikë më të shpejtë për 142.51 % dhe paraqesin realizim</t>
  </si>
  <si>
    <t xml:space="preserve"> të planit për vitin 2012 në lartësi prej 39.95 % . </t>
  </si>
  <si>
    <t xml:space="preserve">                  Gjatë periudhës janar -qershor të vitit 2012 janë paguar për shpenzime komunale 19.46 € dhe paraqesin realizim të planit 0.97%.</t>
  </si>
  <si>
    <t xml:space="preserve">                  Gjatë periudhës janar - qershor të vitit 2012 janë shpenzuar për investime kapitale mjete në vlerë prej  49,397.00 € dhe paraqesin realizim</t>
  </si>
  <si>
    <t xml:space="preserve"> të planit vjetor 49.40 % .</t>
  </si>
  <si>
    <t xml:space="preserve">                   Në shumën e gjithmbarshme të shpenzimeve buxhetore investimet kapitale marrin pjesë me 62.85 % .</t>
  </si>
  <si>
    <t>Gjatë periudhës janar - qershor të vitit 2012 Drejtorati për  Bujqësi , pylltari dhe zhvillim rural ka grumbulluar të hyra vetanake</t>
  </si>
  <si>
    <t xml:space="preserve"> në vlerë prej 10,477.69 € .</t>
  </si>
  <si>
    <t xml:space="preserve"> është më e shpejtë për 324.37 % .</t>
  </si>
  <si>
    <t xml:space="preserve">                  Nga shitja e mallrave gjatë periudhës raportuese janë grumbulluar 75.27 % të të hyrave të gjithmbarshme pranë këtij Drejtorati ,</t>
  </si>
  <si>
    <t xml:space="preserve">  të cilat në fund të periudhës raportuese arrijnë shumën prej 7,886.20 € .</t>
  </si>
  <si>
    <t xml:space="preserve">                  Nga çertifikatat për ndrrimin e destinacionit të tokës janë grumbulluar 1,755.00 €, gjegjësisht 16.75 % të të hyrave të këtij</t>
  </si>
  <si>
    <t xml:space="preserve"> shpenzimeve të Buxhetit Komunal ky Drejtorat merr pjesë me 0.59 % .</t>
  </si>
  <si>
    <t xml:space="preserve">                  Pagat dhe meditjet për periudhën raportuese kapin shumën prej  33,474.05 € . Në krahasim me periudhën janar - qershor të vitit 2011</t>
  </si>
  <si>
    <t xml:space="preserve"> pagesat për këtë kategori shënojnë dinamikë më të shpejtë për 15.45 % , ndërsa plani për vitin 2012 është realizuar 35.24 % .</t>
  </si>
  <si>
    <t xml:space="preserve">                  Në shumën e gjithmbarshme të shpenzimeve buxhetore pagat dhe meditjet marrin pjesë me 77.32 % .</t>
  </si>
  <si>
    <t xml:space="preserve">                  Në emër të mallrave dhe shërbimeve janë shpenzuar 9,819.92 € ose 22.68 % të shpenzimeve të gjithmbarshme . Në raport </t>
  </si>
  <si>
    <t>Donacione</t>
  </si>
  <si>
    <t xml:space="preserve"> respektivisht 52.58 % nga planifikimi vjetor . </t>
  </si>
  <si>
    <t xml:space="preserve"> në lartësi prej 220.00 % dhe dinamikë më të shpejtë në raport me periudhën krahasuese për 2388.89 % .</t>
  </si>
  <si>
    <t xml:space="preserve">                  Nga licencat për transport të mallrave janë grumbulluar 8,935.00 € , gjegjësisht 66.51 % të të hyrave të gjithmbarshme pranë</t>
  </si>
  <si>
    <t xml:space="preserve">                  Nga licencat për shërbim të pijeve alkoolike janë grumbulluar 2,260.00 € , gjegjësisht 16.82 % të të hyrave të gjithmbarshme</t>
  </si>
  <si>
    <t xml:space="preserve"> pranë këtij Drejtorati . Në raport me periudhën krahasuese dinamika e tyre është më e ngadalshme për 67.15 % .</t>
  </si>
  <si>
    <t>Shpenzimet e gjithmbarshme buxhetore për gjashtë muaj të vitit 2012 kapin shumën prej 72,872.49 € ose 31.81 % më shumë se</t>
  </si>
  <si>
    <t xml:space="preserve">                  Pagat dhe meditjet për periudhën raportuese kapin shumën prej 26,690.60 € . Në krahasim me periudhën janar - qershor të vitit</t>
  </si>
  <si>
    <t xml:space="preserve"> 2012 pagesat për këtë kategori shënojnë dinamikë më të shpejtë për 48.21 % , ndërsa plani për vitin 2012 është realizuar 76.26 % .</t>
  </si>
  <si>
    <t xml:space="preserve">                  Në shumën e gjithmbarshme të shpenzimeve buxhetore pagat dhe meditjet marrin pjesë me 36.63 % .</t>
  </si>
  <si>
    <t xml:space="preserve">                  Në emër të mallrave dhe shërbimeve janë shpenzuar 37,249.01 € ose 51.12 % të shpenzimeve të gjithmbarshme . </t>
  </si>
  <si>
    <t xml:space="preserve">                  Pagesat për investime kapitale kapin shumën prej 8,932.88 € dhe përbëjnë 12.26 % të shpenzimeve buxhetore . Në raport me</t>
  </si>
  <si>
    <t xml:space="preserve"> periudhën krahasuese dinamika e tyre është më e ngadalshme për 72.36 % ndërsa plani për vitin raportues është realizuar 19.85 % .</t>
  </si>
  <si>
    <t xml:space="preserve">       SHPENZIMET E REALIZUARA BUXHETORE PËR PERIUDHËN JANAR - QERSHOR 2012</t>
  </si>
  <si>
    <t>Gjatë periudhës janar-qershor të vitit 2012 Drejtorati për Zhvillim ekonomik ka realizuar të hyra vetanake në vlerë prej 13,435.00 €</t>
  </si>
  <si>
    <t>Licenca për shërbim të pijeve alkoolike</t>
  </si>
  <si>
    <t>Pension. për persona me aftësi të kufiz.</t>
  </si>
  <si>
    <t>INVESTIMET KAPITALE</t>
  </si>
  <si>
    <t>Granti Qeveritar</t>
  </si>
  <si>
    <t>Të hyrat vetanake</t>
  </si>
  <si>
    <t>Donatorët e brendshëm</t>
  </si>
  <si>
    <t>Donatorët e jashtëm</t>
  </si>
  <si>
    <t>Bujqësi,pylltari , zhvillim rural</t>
  </si>
  <si>
    <t>Kulturë , rini , sport</t>
  </si>
  <si>
    <t>Totali - Administrata e përgjith.</t>
  </si>
  <si>
    <t>I</t>
  </si>
  <si>
    <t>II</t>
  </si>
  <si>
    <t>III</t>
  </si>
  <si>
    <t>Suptotali ( I + II )</t>
  </si>
  <si>
    <t>Plani dinam.</t>
  </si>
  <si>
    <t xml:space="preserve">Gjatë periudhës janar - mars të vitit 2012 Drejtorati për Buxhet e financa ka grumbulluar 46.48 % të të hyrave të gjithmbarshme </t>
  </si>
  <si>
    <t xml:space="preserve"> të vitit 2011 dhe planifikimin për vitin 2012 .</t>
  </si>
  <si>
    <t xml:space="preserve">                     Në pajtim me Ligjin Nr. 03/L-177 për Buxhetin e Republikës së Kosovës për vitin 2010 , Buxheti Komunal për periudhën janar - mars</t>
  </si>
  <si>
    <t xml:space="preserve"> të vitit  2012 duket si vijon :</t>
  </si>
  <si>
    <t>Participimet</t>
  </si>
  <si>
    <t>Shërbime Sociale</t>
  </si>
  <si>
    <t>Shërbimet  kadastrale</t>
  </si>
  <si>
    <t>Punë komunale , shërbime teknike</t>
  </si>
  <si>
    <t>Planifikimi dhe zhvillimi ekonomik</t>
  </si>
  <si>
    <t>Të hyrat nga shitja e mallrave</t>
  </si>
  <si>
    <t>Taksa e pjesëmarrjes në tender</t>
  </si>
  <si>
    <t>Shfrytëzimi I pronës publike</t>
  </si>
  <si>
    <t>Gjobat nga inspektoriati</t>
  </si>
  <si>
    <t>Mobile</t>
  </si>
  <si>
    <t>Souftwer</t>
  </si>
  <si>
    <t>Paisje tjera</t>
  </si>
  <si>
    <t>Automjete transporti</t>
  </si>
  <si>
    <t>Vetura zyrtare</t>
  </si>
  <si>
    <t>Kapital tjetër</t>
  </si>
  <si>
    <t>Toka</t>
  </si>
  <si>
    <t>Transf.kapital për Entitete jopubl.</t>
  </si>
  <si>
    <t>Transfere kapital për Entitete jopublike</t>
  </si>
  <si>
    <t>Pagesa - Vendime gjyqësore</t>
  </si>
  <si>
    <t>Alokimi</t>
  </si>
  <si>
    <t>Projekti</t>
  </si>
  <si>
    <t xml:space="preserve"> 2 / 1</t>
  </si>
  <si>
    <t>Participimi me donat.për rregullimin e stadionit</t>
  </si>
  <si>
    <t>Projekte kapitale në rast fatkeqësie</t>
  </si>
  <si>
    <t>Kapitale tjera - Mirëmbajtja dimërore</t>
  </si>
  <si>
    <t>Punë komunale , shërbime teknike :</t>
  </si>
  <si>
    <t>Asambleja Komunale</t>
  </si>
  <si>
    <t>Gjobat nga Trafiku</t>
  </si>
  <si>
    <t xml:space="preserve">Gjobat nga gjykatat </t>
  </si>
  <si>
    <t xml:space="preserve"> me periudhën e njajtë të vitit 2011 pagesat për mallra dhe shërbime shënojnë dinamikë më të shpejtë për 412.67 % dhe paraqesin realizim</t>
  </si>
  <si>
    <t xml:space="preserve"> të planit për vitin 2012 në lartësi prej 42.66 % . </t>
  </si>
  <si>
    <t xml:space="preserve">                     Shpenzimet komunale për tre muaj të vitit 2012 përbëjnë 5.24%  të shpenzimeve të gjithmbarshme buxhetore. Pagesat për këtë</t>
  </si>
  <si>
    <t xml:space="preserve"> kategori buxhetore arrijnë shumën prej 160,701.02 € . Në  krahasim me periudhën e njajtë të vitit paraprak shpenzimet komunale shënojnë</t>
  </si>
  <si>
    <t xml:space="preserve"> rritje për 46.83 % ndërsa plani për vitin 2012 është realizuar 30.16 % .</t>
  </si>
  <si>
    <t xml:space="preserve">                     Pagesat për transfere dhe subvencione shënojnë rritje për 551.13 % në raport me periudhën krahasuese ndërsa në shumën</t>
  </si>
  <si>
    <t xml:space="preserve"> e gjithmbarshme të shpenzimeve buxhetore pagesat për këtë kategori marrin pjesë me 5.29 % . Në fund të tremujorit të parë të vitit 2012</t>
  </si>
  <si>
    <t xml:space="preserve"> pagesat për transfere dhe subvencione kapin shumën prej 162,230.00 € .</t>
  </si>
  <si>
    <t xml:space="preserve"> për  8.34 % dhe realizim të planit 42.08 % . Në shumën e gjithmbarshme të pagesave për këtë kategori pjesëmarrja e tyre është 98.74 % .</t>
  </si>
  <si>
    <t xml:space="preserve"> Diferenca prej 1.26 % është financuar nga burimet e mëposhtme :</t>
  </si>
  <si>
    <t xml:space="preserve">                       - Të Hyrat vetanake                         0.79 % ;</t>
  </si>
  <si>
    <t xml:space="preserve">                       - Donacionet e jashtme                    0.30 % .</t>
  </si>
  <si>
    <t xml:space="preserve">                  Dinamika e shpenzimeve për paga dhe meditje nëpër Drejtori shënon ecuri të ndryshme , si në raport me periudhën krahasuese</t>
  </si>
  <si>
    <t xml:space="preserve">                  Pagat neto përmes listës së pagave paraqesin 85.91 % të shpenzimeve të gjithmbarshme për paga dhe meditje dhe në krahasim </t>
  </si>
  <si>
    <t xml:space="preserve">          MALLRAT DHE SHËRBIMET</t>
  </si>
  <si>
    <t xml:space="preserve">                  Financimi i buxhetit për mallra dhe shërbime është bërë nga këto burime :</t>
  </si>
  <si>
    <t xml:space="preserve">                  Gjatë periudhës janar - qershor të vitit 2012, pagesat e gjithmbarshme për mallra dhe shërbime kapin shumën prej 1,466,024.86 €</t>
  </si>
  <si>
    <t xml:space="preserve"> Në ecurinë e tillë ka ndikuar pagesa e obligimeve të bartura nga viti paraprak .</t>
  </si>
  <si>
    <t xml:space="preserve"> shpenzimeve buxhetore . Në raport me periudhën krahasuese dinamika e tyre është më e shpejtë për 7.25 % ndërsa plani për vitin </t>
  </si>
  <si>
    <t xml:space="preserve"> raportues është realizuar 38.78 % .</t>
  </si>
  <si>
    <t>Pejë, 5 Korrik  2012</t>
  </si>
  <si>
    <t>93540 - ARSIMI FILLOR</t>
  </si>
  <si>
    <t>94740 - ARSIMI I MESËM</t>
  </si>
  <si>
    <t xml:space="preserve"> shpenzimeve buxhetore .</t>
  </si>
  <si>
    <t xml:space="preserve">            18295  -  EMERGJENCA - ZJARRËFIKËSAT</t>
  </si>
  <si>
    <t xml:space="preserve"> Paga dhe meditje</t>
  </si>
  <si>
    <t xml:space="preserve"> Mallra dhe shërbime</t>
  </si>
  <si>
    <t xml:space="preserve"> Shpenzime komunale</t>
  </si>
  <si>
    <t xml:space="preserve"> Transfere dhe subvencione</t>
  </si>
  <si>
    <t xml:space="preserve"> Investime kapitale</t>
  </si>
  <si>
    <t>duke arritur vlerën prej 189,458.98 € .</t>
  </si>
  <si>
    <t xml:space="preserve">PAGAT DHE MEDITJET </t>
  </si>
  <si>
    <t xml:space="preserve"> Granti qeveritar</t>
  </si>
  <si>
    <t xml:space="preserve"> Donatorët e jashtëm</t>
  </si>
  <si>
    <t xml:space="preserve"> </t>
  </si>
  <si>
    <t>(në euro )</t>
  </si>
  <si>
    <t>Pagesat për sindikat</t>
  </si>
  <si>
    <t>Kontributi pensional nga punëtori</t>
  </si>
  <si>
    <t>Kontributi pens.nga punëdhënësi</t>
  </si>
  <si>
    <t xml:space="preserve"> - Arsimi I mesëm</t>
  </si>
  <si>
    <t>Shpenzimet e udhëtimit</t>
  </si>
  <si>
    <t>Meditjet e  udhëtimit zyrtar brenda vendit</t>
  </si>
  <si>
    <t>Meditjet e udhëtimit zyrtar jashtë vendit</t>
  </si>
  <si>
    <t>Shërbimet e telekomunikimit</t>
  </si>
  <si>
    <t>Shpenzimet për internet</t>
  </si>
  <si>
    <t>Shpenzimet e telefonisë mobile</t>
  </si>
  <si>
    <t>Shpenzimet postare</t>
  </si>
  <si>
    <t>Shpenzimet për shërbime</t>
  </si>
  <si>
    <t>Shërbimet e arsimit dhe trajnimit</t>
  </si>
  <si>
    <t>Shërbime të ndryshme shëndetsore</t>
  </si>
  <si>
    <t>Shërbime  shtypje - jo marketing</t>
  </si>
  <si>
    <t xml:space="preserve">Shërbimet tjera kontraktuese </t>
  </si>
  <si>
    <t>Shërbimet teknike</t>
  </si>
  <si>
    <t>Shpenzimet për antarësim</t>
  </si>
  <si>
    <t>Mobile ( më pak se 1000 € )</t>
  </si>
  <si>
    <t>Telefona ( më pak se 1000 € )</t>
  </si>
  <si>
    <t>Kompjuter ( më pak se 1000 € )</t>
  </si>
  <si>
    <t>Makina fotokopjuese ( më pak se 1000 )</t>
  </si>
  <si>
    <t>Paisje speciale mjeksore ( &lt; se 1000 )</t>
  </si>
  <si>
    <t>Paisje trafiku ( më pak se 1000 )</t>
  </si>
  <si>
    <t>Paisje tjera ( më pak se 1000 euro )</t>
  </si>
  <si>
    <t>Furnizime për zyrë</t>
  </si>
  <si>
    <t>Furnizime mjeksore</t>
  </si>
  <si>
    <t>Furnizime pastrimi</t>
  </si>
  <si>
    <t>Furnizim për veshmbathje</t>
  </si>
  <si>
    <t>Akomodimi</t>
  </si>
  <si>
    <t>Bllombat</t>
  </si>
  <si>
    <t>Derivatet dhe lëndët djegëse</t>
  </si>
  <si>
    <t>Vaj</t>
  </si>
  <si>
    <t>Shfrytëzimi i pronës publike</t>
  </si>
  <si>
    <t xml:space="preserve">            16795  -  PROKURIMI</t>
  </si>
  <si>
    <t>Punëtorët me kontratë ( jo në listën e pagave )</t>
  </si>
  <si>
    <t xml:space="preserve">            16919  -  ASAMBLEJA KOMUNALE</t>
  </si>
  <si>
    <t xml:space="preserve">                     Pagat dhe meditjet në periudhën raportuese kapin shumën prej  1,732,007.76 € . Në krahasim me periudhën janar - mars të </t>
  </si>
  <si>
    <t xml:space="preserve">                     Në shumën e gjithmbarshme të shpenzimeve buxhetore pagat dhe meditjet marrin pjesë me  56.52 % .</t>
  </si>
  <si>
    <t>Zyra e Kryetarit , sipas funksionit që ka , nuk bën grumbullim të të hyrave ndërsa shpenzimi i buxhetit është si vijon :</t>
  </si>
  <si>
    <t xml:space="preserve">                     Në emër të mallrave dhe shërbimeve janë shpenzuar  820,064.78 € ose  26.76 % të shpenzimeve të gjithmbarshme . Në raport</t>
  </si>
  <si>
    <t xml:space="preserve"> vitit 2011 pagesat për këtë kategori shënojnë dinamikë më të shpejtë për 33.64 % , ndërsa plani për vitin 2012 është realizuar 16.84 % .</t>
  </si>
  <si>
    <t xml:space="preserve"> komunale , shërbime teknike ( ind.75.10 % ) dhe Drejtorati për Gjeodezi dhe kadastër ( ind.90.59 % ) shënojnë dinamikë më të ngadalshme </t>
  </si>
  <si>
    <t xml:space="preserve">                  Në shumën e gjithmbarshme të shpenzimeve për  periudhën janar - qershor të vitit 2012 kategoritë e ndryshme buxhetore shënojnë</t>
  </si>
  <si>
    <t xml:space="preserve">                  Shpenzimet e gjithmbarshme të Buxhetit Komunal për periudhën janar - qershor të vitit 2012 kapin shumën prej 7,326,560.82 €</t>
  </si>
  <si>
    <t xml:space="preserve">                  Sipas kategorive ekonomike ,  shpenzimet e realizuara gjatë periudhës janar -qershor  të vitit 2012 kanë ecuri të ndryshme , si në </t>
  </si>
  <si>
    <t xml:space="preserve">                  Nga tabela që vijon mund të përcjellet dinamika dhe struktura e realizimit të buxhetit sipas Drejtorive për të gjitha kategoritë</t>
  </si>
  <si>
    <t xml:space="preserve">                  Dinamika e shpenzimeve gjatë gjashtë muajve të vitit 2012 si dhe raporti me periudhën krahasuese mund të përcjellet nga pasqyrimi</t>
  </si>
  <si>
    <t xml:space="preserve">                  Pagat dhe meditjet në periudhën raportuese kapin shumën prej  4,331,174.26 € . Në krahasim me periudhën janar - qershor të </t>
  </si>
  <si>
    <t xml:space="preserve"> vitit 2011 pagesat për këtë kategori shënojnë dinamikë më të shpejtë për 9.53 % , ndërsa plani për vitin 2012 është realizuar 42.12 % .</t>
  </si>
  <si>
    <t xml:space="preserve">                  Në shumën e gjithmbarshme të shpenzimeve buxhetore pagat dhe meditjet marrin pjesë me  59.12 % .</t>
  </si>
  <si>
    <t xml:space="preserve"> me periudhën e njajtë të vitit 2011 pagesat për mallra dhe shërbime shënojnë dinamikë më të shpejtë për 85.37 % dhe paraqesin realizim</t>
  </si>
  <si>
    <t xml:space="preserve">                  Shpenzimet komunale për gjashtë muaj të vitit 2012 përbëjnë 3.74%  të shpenzimeve të gjithmbarshme buxhetore. Pagesat për këtë</t>
  </si>
  <si>
    <t xml:space="preserve"> kategori buxhetore arrijnë shumën prej 273,771.59 € . Në  krahasim me periudhën e njajtë të vitit paraprak shpenzimet komunale shënojnë</t>
  </si>
  <si>
    <t xml:space="preserve"> rritje për 5.27 % ndërsa plani për vitin 2012 është realizuar 51.38 % .</t>
  </si>
  <si>
    <t xml:space="preserve">                  Pagesat për transfere dhe subvencione shënojnë rritje për 85.04 % në raport me periudhën krahasuese ndërsa në shumën</t>
  </si>
  <si>
    <t xml:space="preserve"> e gjithmbarshme të shpenzimeve buxhetore pagesat për këtë kategori marrin pjesë me 4.00 % . Në fund të gjashtëmujorit të parë të vitit 2012</t>
  </si>
  <si>
    <t xml:space="preserve"> pagesat për transfere dhe subvencione kapin shumën prej 292,952.22 € .</t>
  </si>
  <si>
    <t xml:space="preserve">                  Dinamikë më të ulët në raport me periudhën janar - qershor të vitit 2011 shënojnë pagesat për investime kapitale (ind.62.38 %)</t>
  </si>
  <si>
    <t xml:space="preserve"> të cilat paraqesin 13.14 % të shpenzimeve të gjithmbarshme buxhetore për periudhën raportuese, duke arritur vlerën prej 962,637.89 € .</t>
  </si>
  <si>
    <t xml:space="preserve">                  Burimet e financimit të shpenzimeve për paga dhe meditje janë :</t>
  </si>
  <si>
    <t xml:space="preserve">                  Bartës i financimit të shpenzimeve për kategorinë e pagave dhe meditjeve janë mjetet e Grantit Qeveritar , të cilat shënojnë rritje</t>
  </si>
  <si>
    <t xml:space="preserve">                  Strukturën e pagave e përbëjnë :</t>
  </si>
  <si>
    <t xml:space="preserve"> 4,331,174.26 € dhe në raport me periudhën krahasuese janë më të larta për 9.53 % .</t>
  </si>
  <si>
    <t xml:space="preserve">                  Gjatë periudhës janar - qershor të vitit 2011 , shpenzimet komunale kanë arritur shumën prej 273,771.59 € dhe janë për 5.27 % </t>
  </si>
  <si>
    <t xml:space="preserve"> për vitin 2012 për 3.15% respektivisht 85.04 % më shumë se gjatë periudhës krahasuese .</t>
  </si>
  <si>
    <t xml:space="preserve"> është për 37.62 % më pak se në periudhën e njajtë të vitit 2011 .</t>
  </si>
  <si>
    <t>Periudhën raportuese e karakterizon përqindje e ulët e realizimit në raport me planifikimin për vitin 2012 gjegjësisht 18.91 % .</t>
  </si>
  <si>
    <t xml:space="preserve"> gjithmbarshme të shpenzimeve të Buxhetit Komunal Zyra e Kryetarit merr pjesë me 5.68 % .</t>
  </si>
  <si>
    <t xml:space="preserve">                  Për gjashtë muaj të vitit 2012 në emër të transfereve dhe subvencioneve janë paguar 209,222.22 € , që është 82.37 % nga plani </t>
  </si>
  <si>
    <t xml:space="preserve">                  Në shumën e gjithmbarshme të shpenzimeve buxhetore pagesat për investime kapitale marrin pjesë me  17.00 % .</t>
  </si>
  <si>
    <t xml:space="preserve">Gjatë muajit maj ky Drejtorat ka realizuar participim nga qytetarët në vlerë 4,060.40 € për rregullimin e kanalizimit fekal dhe </t>
  </si>
  <si>
    <t xml:space="preserve"> asfaltimin e rrugës në fshatin Pavlan .</t>
  </si>
  <si>
    <t xml:space="preserve"> më shumë se në periudhën e njajtë të vitit paraprak , ndërsa plani për vitin 2012 është realizuar 13.24 % . Në shumën e gjithmbarshme të </t>
  </si>
  <si>
    <t xml:space="preserve"> pak se në periudhën e njajtë të vitit paraprak , ndërsa plani për vitin 2012 është realizuar 28.43 % . Në shumën e gjithmbarshme të </t>
  </si>
  <si>
    <t xml:space="preserve">Shpenzimet e gjithmbarshme buxhetore për gjashtëmujorin e parë të vitit 2012 kapin shumën prej 45,824.48 € ose 9.41 % më </t>
  </si>
  <si>
    <t>65495 - ÇËSHTJE PRONËSORO - JURIDIKE</t>
  </si>
  <si>
    <t xml:space="preserve">                   Pagat dhe meditjet kapin shumën prej  8,363.85 € dhe paraqesin 34.85 % të realizimit të planit për vitin 2012 .</t>
  </si>
  <si>
    <t xml:space="preserve"> me periudhën krahasuese dinamika e tyre është më e ngadalshme për 19.48 % dhe paraqesin realizim të planit për vitin raportues 39.95 % .</t>
  </si>
  <si>
    <t>Shpenzimet e gjithmbarshme buxhetore për gjashtëmujorin e parë të vitit 2012 kapin shumën prej 97,552.11 € ose 280.55 %</t>
  </si>
  <si>
    <t>2011 dinamika e tyre është më e shpejtë për 17.54 % , ndërsa plani për vitin 2012 është realizuar 34.29 % .</t>
  </si>
  <si>
    <t xml:space="preserve"> më shumë se në periudhën e njajtë të vitit paraprak , ndërsa plani për vitin 2012 është realizuar 47.69 % . </t>
  </si>
  <si>
    <t>PËRMBAJTJA :</t>
  </si>
  <si>
    <t>Përshkrimi</t>
  </si>
  <si>
    <t>Faqja</t>
  </si>
  <si>
    <t xml:space="preserve">                  Dinamika dhe struktura e pagesave për mallra dhe shërbime sipas kodeve ekonomike shënon ecuri të ndryshme , si në raport</t>
  </si>
  <si>
    <t xml:space="preserve">                  Vlen të ceket se pjesëmarrje më të konsiderueshme në shumën e gjithmbarshme paraqesin shpenzimet për derivate dhe lëndë</t>
  </si>
  <si>
    <t xml:space="preserve">                  Nga tabela e mëposhtme mund të përcjellet ecuria e të gjitha shpenzimeve të realizuara për këtë kategori buxhetore .</t>
  </si>
  <si>
    <t xml:space="preserve">                  Nga Granti Qeveritar është bërë financimi i shpenzimeve për mallra dhe shërbime në vlerë prej 1,015,428.05 € ose 69.26 % , </t>
  </si>
  <si>
    <t xml:space="preserve"> dhe në raport me periudhën krahasuese shënojnë dinamikë më të shpejtë për 412.67 % ndërsa planifikim vjetor është realizuar 42.66 % .</t>
  </si>
  <si>
    <t>50208 - 1</t>
  </si>
  <si>
    <t>Vërtetetime të ndryshme dhe leje për itenerar</t>
  </si>
  <si>
    <t xml:space="preserve">                     Bartës i pagesave për mallra dhe shërbime gjatë periudhës raportuese janë : </t>
  </si>
  <si>
    <t xml:space="preserve">                     Pagesat për mallra dhe shërbime të Drejtorive të lartëcekura përbëjnë 68.80 % të shpenzimeve të gjithmbarshme për mallra dhe</t>
  </si>
  <si>
    <t xml:space="preserve">                     Gjatë periudhës janar - mars të vitit 2011 , shpenzimet komunale kanë arritur shumën prej 160,701.02 € dhe janë për 46.83 % </t>
  </si>
  <si>
    <t xml:space="preserve"> më të larta në krahasim me periudhën e njajtë të vitit paraprak .</t>
  </si>
  <si>
    <t xml:space="preserve"> shërbime për periudhën raportuese . </t>
  </si>
  <si>
    <t xml:space="preserve">                     Burim i financimit të kësaj kategorie janë mjetet e Grantit Qeveritar me 94.93 % dhe mjetet e bartura nga viti 2011me 5.07 % . </t>
  </si>
  <si>
    <t xml:space="preserve"> kategori buxhetore . </t>
  </si>
  <si>
    <t xml:space="preserve">                     Pasojnë shpenzimet për ujë me 11,913.70 € ose 7.41 % , shpenzimet e telefonit me 6,318.13 € respektivisht 3.93 % dhe së</t>
  </si>
  <si>
    <t>Drejtorive</t>
  </si>
  <si>
    <t xml:space="preserve"> gjithmbarshme e shpenzimeve për periudhën raportuese .</t>
  </si>
  <si>
    <t xml:space="preserve">            47019  -  BUJQËSI , PYLLTARI , ZHVILLIM RURAL</t>
  </si>
  <si>
    <t xml:space="preserve">Çertifikata për transportin e kafshëve </t>
  </si>
  <si>
    <t>JANAR – QERSHOR  2012</t>
  </si>
  <si>
    <t>I - VI - 2011</t>
  </si>
  <si>
    <t>I - VI - 2012</t>
  </si>
  <si>
    <t>Taksa për kopje të pl.,fletëp. dhe kërk.  Tjera</t>
  </si>
  <si>
    <t>635502233</t>
  </si>
  <si>
    <t>63550502</t>
  </si>
  <si>
    <t>JANAR – MARS  2012</t>
  </si>
  <si>
    <t>Pejë, Prill  2012</t>
  </si>
  <si>
    <t>Janar - Mars 2012</t>
  </si>
  <si>
    <t>63550409</t>
  </si>
  <si>
    <t>635504091</t>
  </si>
  <si>
    <t>63556000</t>
  </si>
  <si>
    <t>63599000</t>
  </si>
  <si>
    <t xml:space="preserve">              </t>
  </si>
  <si>
    <t>16319</t>
  </si>
  <si>
    <t>85019</t>
  </si>
  <si>
    <t>48019</t>
  </si>
  <si>
    <t>17519</t>
  </si>
  <si>
    <t>Buxhet e Financa</t>
  </si>
  <si>
    <t>18019</t>
  </si>
  <si>
    <t>16637</t>
  </si>
  <si>
    <t>47019</t>
  </si>
  <si>
    <t>65095</t>
  </si>
  <si>
    <t>Gjeodezi e Kadastër</t>
  </si>
  <si>
    <t>720</t>
  </si>
  <si>
    <t>Totali:</t>
  </si>
  <si>
    <t>Participimi I qytetarëve në projekte</t>
  </si>
  <si>
    <t>( në euro )</t>
  </si>
  <si>
    <t xml:space="preserve">Kodi </t>
  </si>
  <si>
    <t>organizativ</t>
  </si>
  <si>
    <t>Progresi :</t>
  </si>
  <si>
    <t>Realizimi</t>
  </si>
  <si>
    <t>TË HYRAT VETANAKE :</t>
  </si>
  <si>
    <t>Emërtimi i kodit</t>
  </si>
  <si>
    <t>Qira</t>
  </si>
  <si>
    <t>Taksat administrative</t>
  </si>
  <si>
    <t>Licencat për përdorim të alkoolit</t>
  </si>
  <si>
    <t>Licencat speciale</t>
  </si>
  <si>
    <t>Taksa për leje pune</t>
  </si>
  <si>
    <t>Gjobat nga trafiku</t>
  </si>
  <si>
    <t>Gjobat nga gjykatat</t>
  </si>
  <si>
    <t>Tatimi në pronë</t>
  </si>
  <si>
    <t>Licencat e ndryshme afariste</t>
  </si>
  <si>
    <t>Taksat për zhavor</t>
  </si>
  <si>
    <t>Taksat nga pyjet</t>
  </si>
  <si>
    <t>Taksat për transfer të pronës</t>
  </si>
  <si>
    <t>Tarifa për matje në teren</t>
  </si>
  <si>
    <t>Taksa për regjistrim të hipotekës</t>
  </si>
  <si>
    <t>Participimi nga shëndetësia</t>
  </si>
  <si>
    <t>Donacionet</t>
  </si>
  <si>
    <t>Të tjera</t>
  </si>
  <si>
    <t xml:space="preserve"> 5 / 3</t>
  </si>
  <si>
    <t xml:space="preserve"> 5 / 4</t>
  </si>
  <si>
    <t>I - III - 2011</t>
  </si>
  <si>
    <t xml:space="preserve">                                </t>
  </si>
  <si>
    <t>Fondi burimor</t>
  </si>
  <si>
    <t>Emërtimi i fondit</t>
  </si>
  <si>
    <t>Planifikimi</t>
  </si>
  <si>
    <t xml:space="preserve">Progresi : </t>
  </si>
  <si>
    <t>%</t>
  </si>
  <si>
    <t>I - XII - 2012</t>
  </si>
  <si>
    <t>I - III - 2012</t>
  </si>
  <si>
    <t>e realizimit</t>
  </si>
  <si>
    <t xml:space="preserve"> Granti Qeveritar</t>
  </si>
  <si>
    <t xml:space="preserve"> Të hyrat vetanake</t>
  </si>
  <si>
    <t xml:space="preserve"> Mjetet e bartura</t>
  </si>
  <si>
    <t>Taksa për verifikim të dokument .të ndryshme</t>
  </si>
  <si>
    <t xml:space="preserve">Taksa administrative për fletëkërkesë            </t>
  </si>
  <si>
    <t>Të hyrat nga shitja e pasurisë</t>
  </si>
  <si>
    <t>Kontrolli teknik i aparateve të zjarrëfikjeve</t>
  </si>
  <si>
    <t>III ( I + II )</t>
  </si>
  <si>
    <t>Totali ( Të hyrat vetanake ) :</t>
  </si>
  <si>
    <t>Blerja e autocisternave për zjarrëfikje</t>
  </si>
  <si>
    <t>Ndërtimi i objektit të emergjencës</t>
  </si>
  <si>
    <t>Emergjenca - Zjarrëfikësat :</t>
  </si>
  <si>
    <t>Plani i vepr.dhe qasjes në Rrafsh.e Dukagjinit dhe Rugovës</t>
  </si>
  <si>
    <t>Zhvillimi ekonomik</t>
  </si>
  <si>
    <t>Plane rregullative të qytetit të Pejës</t>
  </si>
  <si>
    <t>Planifikimi urban dhe mjedisi :</t>
  </si>
  <si>
    <t>Renov.i nx. qendr.në kinoteatrin"Jusuf Gërvalla "</t>
  </si>
  <si>
    <t>Kulturë , rini dhe sport</t>
  </si>
  <si>
    <t>Renovimi në Gjimnazin " Bedri Pejani "</t>
  </si>
  <si>
    <t>Arsimi - Administrata :</t>
  </si>
  <si>
    <t xml:space="preserve">Totali : </t>
  </si>
  <si>
    <t>Shpenzimet për investimet e lartëcekura paraqesin 56.72 % të alokimit për tremujorin e parë të vitit 2012 .</t>
  </si>
  <si>
    <t xml:space="preserve"> SHPENZIMET E REALIZUARA BUXHETORE PËR PERIUDHËN JANAR - MARS 2012</t>
  </si>
  <si>
    <t xml:space="preserve">   </t>
  </si>
  <si>
    <t>R E P U B L I K A     E    K O S O V Ë S</t>
  </si>
  <si>
    <t>R E P U B L I K    OF    K O S O V O</t>
  </si>
  <si>
    <t xml:space="preserve">R A P U B L I K A    K O S O V A </t>
  </si>
  <si>
    <t>KOMUNA E PEJËS        MUNICIPALITY OF PEJA       OPŠTINA   PEĆ</t>
  </si>
  <si>
    <t xml:space="preserve">                                        </t>
  </si>
  <si>
    <t>50212-2</t>
  </si>
  <si>
    <t>50020-1</t>
  </si>
  <si>
    <t>50008-1</t>
  </si>
  <si>
    <t>50208-1</t>
  </si>
  <si>
    <t>50012-1</t>
  </si>
  <si>
    <t>50012-2</t>
  </si>
  <si>
    <t>50012-3</t>
  </si>
  <si>
    <t>50504-1</t>
  </si>
  <si>
    <t>50223-3</t>
  </si>
  <si>
    <t>50409-1</t>
  </si>
  <si>
    <t>50405-1</t>
  </si>
  <si>
    <t>Taksa për fotokop.të dokument.</t>
  </si>
  <si>
    <t>Taksat nga aktivit.tjera kult.sport.</t>
  </si>
  <si>
    <t>Të hyrat nga Salla e lex.-Bibliot.</t>
  </si>
  <si>
    <t>Kompenz.për rreg.e tokës ndert.</t>
  </si>
  <si>
    <t>Komp.për shrytëz.e tokës ndert.</t>
  </si>
  <si>
    <t>Licenca-taksi udhëtar.dhe transp.</t>
  </si>
  <si>
    <t>Vert.të ndryshme ,leje për itener.</t>
  </si>
  <si>
    <t>Vlerës.për hipot.bank.dhe vert. tj.</t>
  </si>
  <si>
    <t>Të hyr.nga shërb.kom.dhe park.</t>
  </si>
  <si>
    <t>Lic.,reklama publ.në pronë publ.</t>
  </si>
  <si>
    <t>Të hyr.nga komis-kushte min.tek.san.</t>
  </si>
  <si>
    <t xml:space="preserve">Çert.për ndrrimin e dest. të tokës </t>
  </si>
  <si>
    <t>Pelqimi për ekspl.e resurs.natyr.</t>
  </si>
  <si>
    <t xml:space="preserve">Çertif.për transportin e kafshëve </t>
  </si>
  <si>
    <t>Taksa për kopje pl.,fletëp.kërk.tj.</t>
  </si>
  <si>
    <t>Kontr.teknik i apar.të zjarrëfikës.</t>
  </si>
  <si>
    <t>Partic.nga arsimi parash.-qerdhet</t>
  </si>
  <si>
    <t xml:space="preserve">Participimi I qytetar.në projekte </t>
  </si>
  <si>
    <t>48019 - ZHVILLIMI EKONOMIK</t>
  </si>
  <si>
    <t xml:space="preserve">Shpenzimet e gjithmbarshme buxhetore për gjashtëmujorin e parë të vitit 2012 kapin shumën prej 416,247.11 € gjegjësisht </t>
  </si>
  <si>
    <t xml:space="preserve">                  Pagat dhe meditjet në periudhën raportuese kapin shumën prej  35,817.01 € . Në krahasim me periudhën janar - qershor të vitit 2011</t>
  </si>
  <si>
    <t xml:space="preserve"> pagesat për këtë kategori shënojnë dinamikë më të ngadalshme për 15.35 % , ndërsa plani për vitin 2012 është realizuar 32.18 % .</t>
  </si>
  <si>
    <t xml:space="preserve"> të planit për vitin 2012 në lartësi prej 73.53 % . </t>
  </si>
  <si>
    <t xml:space="preserve"> 38.40 % më pak se në periudhën e njajtë të vitit paraprak , ndërsa plani për vitin 2012 është realizuar 38.96 % . Në shumën e </t>
  </si>
  <si>
    <t xml:space="preserve">                  Në shumën e gjithmbarshme të shpenzimeve buxhetore pagat dhe meditjet marrin pjesë me  8.60 % .</t>
  </si>
  <si>
    <t xml:space="preserve">                  Në emër të mallrave dhe shërbimeve janë shpenzuar 100,441.88 € ose 24.13 % të shpenzimeve të gjithmbarshme . Në raport me</t>
  </si>
  <si>
    <t xml:space="preserve"> periudhën e njajtë të vitit 2011 pagesat për mallra dhe shërbime shënojnë dinamikë më të shpejtë për 83.37 % dhe paraqesin realizim</t>
  </si>
  <si>
    <t xml:space="preserve"> të planit për vitin 2012 në lartësi prej 78.87 % . </t>
  </si>
  <si>
    <t xml:space="preserve"> për vitin 2012 , respektivisht 46.37 % më shumë se gjatë periudhës krahasuese .</t>
  </si>
  <si>
    <t xml:space="preserve">                  Gjatë periudhës janar - qershor të vitit 2012 janë shpenzuar për investime kapitale mjete në vlerë prej  70,766.00 € dhe paraqesin realizim</t>
  </si>
  <si>
    <t xml:space="preserve"> të planit vjetor 12.29 % .</t>
  </si>
  <si>
    <t xml:space="preserve">          16319  -  ADMINISTRATA DHE PERSONELI</t>
  </si>
  <si>
    <t xml:space="preserve">          16019  -  ZYRA E KRYETARIT</t>
  </si>
  <si>
    <t xml:space="preserve">  respektivisht 33.66 % nga planifikimi vjetor .</t>
  </si>
  <si>
    <t>Gjatë periudhës janar - qershor të vitit 2012 Drejtorati i Administratës ka grumbulluar të hyra vetanake në vlerë prej 65,294.50 €</t>
  </si>
  <si>
    <t xml:space="preserve">                  Në raport me periudhën e njajtë të vitit paraprak dinamika e grumbullimit të të hyrave gjatë periudhës janar - qershor të vitit 2012 </t>
  </si>
  <si>
    <t xml:space="preserve"> është më e ngadalshme për 21.28 % .</t>
  </si>
  <si>
    <t xml:space="preserve">                  Nga taksat administrative gjatë periudhës raportuese janë grumbulluar 96.48 % të të hyrave të gjithmbarshme pranë këtij </t>
  </si>
  <si>
    <t xml:space="preserve"> Drejtorati . Pranë dinamikës më të ngadalshme për 12.83 % në raport me periudhën krahasuese taksat administrative kapin shumën prej</t>
  </si>
  <si>
    <t xml:space="preserve"> 62,996.50 € .</t>
  </si>
  <si>
    <t xml:space="preserve">                  Strukturën e të hyrave nga Taksat administrative e përbëjnë :</t>
  </si>
  <si>
    <t xml:space="preserve">    5,047.00 € ,  ose ,         8.01  % ;</t>
  </si>
  <si>
    <t xml:space="preserve">    1,581.00 € ,  ose ,         2.51  % ;</t>
  </si>
  <si>
    <t xml:space="preserve">  30,961.50 € ,  ose ,       49.15  % dhe</t>
  </si>
  <si>
    <t>62,996.50 € , ose ,    100.00 %.</t>
  </si>
  <si>
    <t xml:space="preserve">                  Dinamika dhe struktura e të hyrave tjera mund të përcjellet nga pasqyrimi i mësipërm tabelar .</t>
  </si>
  <si>
    <t>Të hyrat vetanake të realizuara gjatë periudhës janar - qershor të vitit 2012</t>
  </si>
  <si>
    <t>Shpenzimet e realizuara buxhetore për periudhën janar - qershor 2012</t>
  </si>
  <si>
    <t>Zyra e Kryetarit - Shpenzimet</t>
  </si>
  <si>
    <t>Administrata dhe personeli - Të hyrat dhe shpenzimet</t>
  </si>
  <si>
    <t>Inspekcioni - Të hyrat dhe shpenzimet</t>
  </si>
  <si>
    <t>Prokurimi - Të hyrat dhe shpenzimet</t>
  </si>
  <si>
    <t>Asambleja Komunale - Shpenzimet</t>
  </si>
  <si>
    <t>Buxhet e financa - Të hyrat dhe shpenzimet</t>
  </si>
  <si>
    <t>Punë komunale , shërbime teknike - Të hyrat dhe shpenzimet</t>
  </si>
  <si>
    <t>Emergjenca - zjarrëfikësat - Të hyrat dhe shpenzimet</t>
  </si>
  <si>
    <t>Bujqësi , pylltari , zhvillim rural - Të hyrat dhe shpenzimet</t>
  </si>
  <si>
    <t>Zhvillimi ekonomik - Të hyrat dhe shpenzimet</t>
  </si>
  <si>
    <t>Gjeodezi dhe kadastër - Të hyrat dhe shpenzimet</t>
  </si>
  <si>
    <t>Çështje pronësoro - juridike - Të hyrat dhe shpenzimet</t>
  </si>
  <si>
    <t>Shëndetësia - Administrata - Shpenzimet</t>
  </si>
  <si>
    <t>Shëndetësia - Kujdesi primar shëndetsor - Të hyrat dhe shpenzimet</t>
  </si>
  <si>
    <t>Shëndetësia - Shërbime sociale - Shpenzimet</t>
  </si>
  <si>
    <t>Kulturë , rini , sport - Të hyrat dhe shpenzimet</t>
  </si>
  <si>
    <t>Arsimi - Administrata - Shpenzimet</t>
  </si>
  <si>
    <t>Arsimi - Arsimi parashkollor - Qerdhet - Të hyrat dhe shpenzimet</t>
  </si>
  <si>
    <t>Arsimi - Arsimi fillor - Të hyrat dhe shpenzimet</t>
  </si>
  <si>
    <t>Arsimi - Arsimi i mesëm - Të hyrat dhe shpenzimet</t>
  </si>
  <si>
    <t>Aneks -Realizimi I shpenzimeve të subvencioneve dhe transfereve nga Zyra e Kryetarit , janar - qershor 2012</t>
  </si>
  <si>
    <t xml:space="preserve">                  Investimet e gjithmbarshme për gjashtë muaj të vitit raportues u përkasin projekteve të mëposhtme :</t>
  </si>
  <si>
    <t xml:space="preserve">Në dinamikën e realizimit të shpenzimeve për mallra dhe shërbime ka ndikuar pagesa e obligimeve të të gjitha Drejtorive , nga </t>
  </si>
  <si>
    <t xml:space="preserve"> mjetet e bartura nga viti 2011 . Ky Drejtorat raporton çdo vit në thesar për obligimet e papaguara në nivel të Komunës , andaj kemi obligim</t>
  </si>
  <si>
    <t xml:space="preserve"> ligjor që ti përmbushim të njajtat në afat të caktuar ligjor .</t>
  </si>
  <si>
    <t>2 - 3</t>
  </si>
  <si>
    <t>4 - 15</t>
  </si>
  <si>
    <t>17 - 18</t>
  </si>
  <si>
    <t>23 - 24</t>
  </si>
  <si>
    <t>27 - 28</t>
  </si>
  <si>
    <t>29 - 30</t>
  </si>
  <si>
    <t>31 - 32</t>
  </si>
  <si>
    <t>S U B T O T A L I :</t>
  </si>
  <si>
    <t xml:space="preserve">Shpenzimet e gjithmbarshme buxhetore për gjashtëmujorin e parë të vitit 2012 kapin shumën prej 404,759.34 € gjegjësisht </t>
  </si>
  <si>
    <t xml:space="preserve">                     Shpenzimet për investimet e lartëcekura paraqesin 56.72 % të alokimit për gjashtëmujorin e parë të vitit 2012 .</t>
  </si>
  <si>
    <t xml:space="preserve"> vetanake respektivisht 601,212.48 € . Përqindje diç më të lartë të realizimit shënon edhe Drejtorati për Planifikim urban dhe mjedis me 19.23 % ,</t>
  </si>
  <si>
    <t xml:space="preserve"> vjetor 37.62 % .</t>
  </si>
  <si>
    <t>Gjatë periudhës janar - qershor të vitit 2012 janë grumbulluar të hyra vetanake në vlerë prej 3,780.00 €, respektivisht 36.00 %</t>
  </si>
  <si>
    <t xml:space="preserve">  nga planifikimi vjetor . </t>
  </si>
  <si>
    <t xml:space="preserve"> 601,212.48 € respektivisht 51.37 % nga planifikimi vjetor . </t>
  </si>
  <si>
    <t xml:space="preserve">Ky Drejtorat gjatë muajit prill ka realizuar donacion nga Komisioni Europian në vlerë prej 118,128.94 € . </t>
  </si>
  <si>
    <t>Shpenzimet e gjithmbarshme buxhetore për gjashtëmujorin e parë të vitit 2012 kapin shumën prej 2,013,845.29 € ose 6.42 %</t>
  </si>
  <si>
    <t xml:space="preserve">            16637 - INSPEKCIONI</t>
  </si>
  <si>
    <t>Gjatë periudhës janar - qershor të vitit 2012 Drejtorati i Inspekcionit ka grumbulluar të hyra vetanake në vlerë prej 12,045.00 €</t>
  </si>
  <si>
    <t xml:space="preserve"> është më e ngadalshme për 34.03 % .</t>
  </si>
  <si>
    <t xml:space="preserve">  respektivisht 14.29 % nga planifikimi vjetor . </t>
  </si>
  <si>
    <t xml:space="preserve">                  Pjesa më e madhe e të hyrave është realizuar nga të hyrat nga licencat për pranim teknik të lokalit , të cilat kapin shumën prej</t>
  </si>
  <si>
    <t>11,575.00 € ndërsa plani vjetor është realizuar 37.34 % dhe në shumën e gjithmbarshme të të hyrave të grumbulluara pranë këtij Drejtorati</t>
  </si>
  <si>
    <t xml:space="preserve"> marrin pjesë me 96.10 % .</t>
  </si>
  <si>
    <t xml:space="preserve">                  Shpenzimi i buxhetit për gjashtë muaj është si vijon :</t>
  </si>
  <si>
    <t>Shpenzimet e gjithmbarshme buxhetore për gjashtëmujorin e parë të vitit 2012 kapin shumën prej 80,621.42 € gjegjësisht 11.01%</t>
  </si>
  <si>
    <t xml:space="preserve"> më shumë se në periudhën e njajtë të vitit paraprak , ndërsa plani për vitin 2012 është realizuar 45.94 % . Në shumën e gjithmbarshme të </t>
  </si>
  <si>
    <t xml:space="preserve"> shpenzimeve të Buxhetit Komunal ky Drejtorat merr pjesë me 1.10 % .</t>
  </si>
  <si>
    <t xml:space="preserve"> arkëtuara është më e lartë për 4.04 % ndërsa plani për periudhën raportuese është realizuar 98.39 % .</t>
  </si>
  <si>
    <t xml:space="preserve">Gjatë periudhës janar - qershor të vitit 2012 Drejtorati për Buxhet e financa ka grumbulluar 49.79 % të të hyrave të gjithmbarshme </t>
  </si>
  <si>
    <t xml:space="preserve"> gjegjësisht 232,185.94 € . Ecuria e grumbullimit të të hyrave pranë Drejtorateve tjera mund të përcjellet nga pasqyrimi i mësipëm tabelar .</t>
  </si>
  <si>
    <t xml:space="preserve"> është më e shpejtë për 5.04 % .</t>
  </si>
  <si>
    <t xml:space="preserve"> djegëse me 31.21 % dhe shpenzimet për shërbime me  30.93 % .</t>
  </si>
  <si>
    <t xml:space="preserve">                                        - Drejtorati i Arsimit me 25.38 % dhe </t>
  </si>
  <si>
    <t xml:space="preserve">                                        - Drejtorati për Shëndetësi me 23.19 % . </t>
  </si>
  <si>
    <t xml:space="preserve">                  Burim i financimit të kësaj kategorie janë mjetet e Grantit Qeveritar .</t>
  </si>
  <si>
    <t xml:space="preserve"> vitit 2011 janë më të larta për 18.60 % . Pagesat për këtë destinim paraqesin 80.28 % të pagesave të gjithmbarshme për këtë kategori</t>
  </si>
  <si>
    <t xml:space="preserve"> buxhetore . </t>
  </si>
  <si>
    <t xml:space="preserve">                  Pasojnë shpenzimet për ujë me 29,301.04 € ose 10.70 % , shpenzimet e telefonit me 15,540.08 € respektivisht 5.68 % dhe së</t>
  </si>
  <si>
    <t xml:space="preserve"> fundi shpenzimet për mbeturina me 9,159.89 € ose 3.35 % .</t>
  </si>
  <si>
    <t xml:space="preserve">                  Shikuar sipas njësive organizative shpenzimet komunale kanë ecurinë si vijon : </t>
  </si>
  <si>
    <t xml:space="preserve"> të planifikuara si dhe realizimin e tyre sipas  kategorive  të përcaktuara buxhetore , angazhimet kadrovike si dhe treguesit tjerë që kanë ndikuar </t>
  </si>
  <si>
    <t>19</t>
  </si>
  <si>
    <t>Zyra lokale e komuniteteve - Shpenzimet</t>
  </si>
  <si>
    <t>Buxheti i realizuar komunal për periudhën janar - qershor 2012</t>
  </si>
  <si>
    <t>Planifikimi urban dhe mjedisi - Të hyrat dhe shpenzimet</t>
  </si>
  <si>
    <t xml:space="preserve">                  Shpenzimi i buxhetit për tre muaj është si vijon :</t>
  </si>
  <si>
    <t xml:space="preserve">  25,407.00 € ,  ose ,       40.33  % ;</t>
  </si>
  <si>
    <t xml:space="preserve">                  Pagat dhe meditjet për periudhën raportuese kapin shumën prej  88,273.51 € . Në krahasim me periudhën janar - qershor të vitit </t>
  </si>
  <si>
    <t xml:space="preserve"> 2011 pagesat për këtë kategori shënojnë dinamikë më të ngadalshme për 5.72 % , ndërsa plani për vitin 2012 është realizuar 38.36 % .</t>
  </si>
  <si>
    <t xml:space="preserve"> me periudhën e njajtë të vitit 2011 pagesat për mallra dhe shërbime shënojnë dinamikë më të shpejtë për 57.61 % dhe paraqesin realizim</t>
  </si>
  <si>
    <t xml:space="preserve"> të planit për vitin 2012 në lartësi prej 83.50 % . </t>
  </si>
  <si>
    <t>Objektet arsimore</t>
  </si>
  <si>
    <t>Objektet shëndetësore</t>
  </si>
  <si>
    <t>Objektet kulturore</t>
  </si>
  <si>
    <t>Objekte sportive</t>
  </si>
  <si>
    <t>Strukturat tjera ndërtimore</t>
  </si>
  <si>
    <t xml:space="preserve">Ndërtimi i rrugëve </t>
  </si>
  <si>
    <t xml:space="preserve">Ndërtimi i autorrugëve </t>
  </si>
  <si>
    <t>Ndërtimi i rrugëve lokale</t>
  </si>
  <si>
    <t>Kanalizimi</t>
  </si>
  <si>
    <t>Ujësjellësi</t>
  </si>
  <si>
    <t>Furniz.me rrymë,gjener.dhe transmis.</t>
  </si>
  <si>
    <t>Furniz.me rrymë,gjenerim dhe transmis.</t>
  </si>
  <si>
    <t>Paisje ( vlera mbi 1000 € )</t>
  </si>
  <si>
    <t>Paisje të teknologjisë informative</t>
  </si>
  <si>
    <t>Paisje speciale mjeksore</t>
  </si>
  <si>
    <t>Taksa për matjen e tokës në teren</t>
  </si>
  <si>
    <t>Taksa për verifikim të dokument. të ndryshme</t>
  </si>
  <si>
    <t xml:space="preserve">           0.00 € ,  ose ,         0.00  % ;</t>
  </si>
  <si>
    <t>Të hyrat nga inspektimi higjienik - sanitar</t>
  </si>
  <si>
    <t>Taksa për pjesëmarrje në tender</t>
  </si>
  <si>
    <t>Taksa për regjistrim të automjeteve ( rrugore)</t>
  </si>
  <si>
    <t>50212 - 1</t>
  </si>
  <si>
    <t>Licenca për gurthyes dhe miniera</t>
  </si>
  <si>
    <t>Shitja e mallrave</t>
  </si>
  <si>
    <t>Taksë për pjesëmarrje në tender</t>
  </si>
  <si>
    <t>Taksa për verifik. të dokument. të ndryshme</t>
  </si>
  <si>
    <t>Taksa administrative për fletëkërkesë</t>
  </si>
  <si>
    <t>Çështje pronësore - juridike</t>
  </si>
  <si>
    <t xml:space="preserve"> të planifikuara si dhe realizimin e tyre sipas  kategorive  të përcaktuara buxhetore , angazhimet kadrovike si dhe treguesit tjerë që kanë ndikuar në </t>
  </si>
  <si>
    <t xml:space="preserve"> në  rezultatet  e përgjithshme  për  këtë periudhë .</t>
  </si>
  <si>
    <t xml:space="preserve">                     Ecuria e të hyrave të arketuara dhe shpenzimeve të realizuara  gjatë periudhës Janar - mars të vitit 2012 është e prezentuar tek</t>
  </si>
  <si>
    <t xml:space="preserve">  të gjitha programet dhe në raport me planin dhe realizimin gjatë periudhës së njajtë të vitit paraprak .</t>
  </si>
  <si>
    <t>Pranë Kuvendit Komunal në pejë gjatë tremujorit të parë të vitit 2012 kanë qenë të punësuar 2228 punëtorë . Nga tabela që pason</t>
  </si>
  <si>
    <t xml:space="preserve"> mund të përcjellet dinamika e të punësuarve nëpër Drejtorate , si në raport me numrin aktual për periudhën janar - mars të vitit 2011 , poashtu</t>
  </si>
  <si>
    <t xml:space="preserve"> edhe në raport me numrin e planifikuar për vitin 2012 .</t>
  </si>
  <si>
    <t>Taksa për fotokopjim të dokumenteve</t>
  </si>
  <si>
    <t>Gjithsej :</t>
  </si>
  <si>
    <t xml:space="preserve"> Dinamika dhe struktura e grumbullimit të të hyrave është si vijon :</t>
  </si>
  <si>
    <t xml:space="preserve">Donacionet </t>
  </si>
  <si>
    <t>Të hyrat nga inspektimi i artikujve ushqimor</t>
  </si>
  <si>
    <t xml:space="preserve"> shpenzimeve të Buxhetit Komunal ky Drejtorat merr pjesë me 0.18 % .</t>
  </si>
  <si>
    <t xml:space="preserve">  planifikuar për vitin 2012 . </t>
  </si>
  <si>
    <t>Raporti I Buxhetit Komunal për periudhën janar - qershor të vitit 2012 bëhet në bazë të kërkesave për raportim periodik dhe vjetor,</t>
  </si>
  <si>
    <t xml:space="preserve">Pranë Kuvendit Komunal në Pejë gjatë gjashtëmujorit të parë të vitit 2012 kanë qenë të punësuar 2219 punëtorë . Nga tabela </t>
  </si>
  <si>
    <t xml:space="preserve">                  Raporti ka  për  qëllim informimin sa më  objektiv  lidhur  me ecurinë  dhe  me  treguesit  relevant  rreth përmbushjes së planit dhe të</t>
  </si>
  <si>
    <t xml:space="preserve">                  Ecuria e të hyrave të arketuara dhe shpenzimeve të realizuara  gjatë periudhës janar - qershor të vitit 2012 është e prezentuar tek</t>
  </si>
  <si>
    <t xml:space="preserve"> 2011 , poashtu edhe në raport me numrin e planifikuar për vitin 2012 .</t>
  </si>
  <si>
    <t xml:space="preserve"> që pason mund të përcjellet dinamika e të punësuarve nëpër Drejtorate , si në raport me numrin aktual për periudhën janar - qershor të vitit </t>
  </si>
  <si>
    <t>Dinamika e të punësuarve gjatë periudhës raportuese është për 0.32 % më e lartë në raport me periudhën krahasuese .</t>
  </si>
  <si>
    <t>JANAR - QERSHOR TË VITIT 2012</t>
  </si>
  <si>
    <t>Gjatë periudhës janar - qershor të vitit 2012 dinamika dhe struktura e të hyrave të realizuara vetanake  shënon ecuri të ndryshme</t>
  </si>
  <si>
    <t xml:space="preserve"> si në raport me planifikimin për vitin 2012 , poashtu edhe në raport me planin dinamik për periudhën janar - qershor të vitit 2012 dhe realizimin</t>
  </si>
  <si>
    <t xml:space="preserve"> gjatë periudhës janar - qershor të vitit 2011 .</t>
  </si>
  <si>
    <t xml:space="preserve">                  Dinamika dhe struktura e të hyrave të grumbulluara  mund të përcjellet nga pasqyra tabelare por  vlen të ceket se të hyrat </t>
  </si>
  <si>
    <t xml:space="preserve">                  Komuna e Pejës sipas planit për vitin fiskal 2012 ka planifikuar të hyra vetanake në vlerë prej 2,634,920 € . Gjatë periudhës</t>
  </si>
  <si>
    <t xml:space="preserve"> janar - qershor të vitit 2012 janë realizuar 1,207,405.82 €. Në krahasim me periudhën janar - qershor të vitit 2011 dinamika e të hyrave të </t>
  </si>
  <si>
    <t xml:space="preserve"> nga tatimi në pronë paraqesin 32.65 % të shumës së gjithmbarshme të të hyrave të grumbulluara . Sipas lartësisë së pjesëmarrjes </t>
  </si>
  <si>
    <t>pason kompenzimi për rregullimin e tokës ndërtimore me 18.15 % , licencat e ndryshme afariste me 7.73 % , licencat e veturave me 5.94 % ,</t>
  </si>
  <si>
    <t xml:space="preserve"> taksat administrative me 5.22 % , e kështu me radhë .</t>
  </si>
  <si>
    <t xml:space="preserve">                  Duhet cekë se gjatë periudhës janar - qershor të vitit 2012 shpenzimet tek Zyra e Kryetarit ( ind .61.80 % ) , Drejtorati për Punë </t>
  </si>
  <si>
    <t xml:space="preserve"> në raport me periudhën krahasuese . Të gjitha Drejtoratet tjera shënojnë dinamikë më të shpejtë të realizimit dhe sillet prej 6.94 % tek </t>
  </si>
  <si>
    <t xml:space="preserve"> Asambleja komunale deri në 472.98 % tek Zyra lokale e komuniteteve .</t>
  </si>
  <si>
    <t xml:space="preserve">                  Kategoria e pagave dhe meditjeve , si u cek edhe më lartë , gjatë gjashtë muajve të vitit 2012 paraqet kategorinë me pjesëmarrje</t>
  </si>
  <si>
    <t xml:space="preserve"> më të lartë në shpenzime të gjithmbarshme buxhetore me 59.12 % . Në fund të periudhës raportuese pagat dhe meditjet arrijnë shumën prej</t>
  </si>
  <si>
    <t xml:space="preserve"> dhe në raport me periudhën krahasuese shënojnë dinamikë më të shpejtë për 85.37 % ndërsa planifikimi vjetor është realizuar 73.53 % .</t>
  </si>
  <si>
    <t xml:space="preserve"> me periudhën janar - qershor të vitit 2011 , poashtu edhe në krahasim me planifikimin për vitin 2012.</t>
  </si>
  <si>
    <t xml:space="preserve">                                        - Drejtorati i Administratës dhe personelit me 14.32 % , etj.</t>
  </si>
  <si>
    <t xml:space="preserve">                  Shpenzimet e rrymës për periudhën raportuese kapin shumën prej 219,770.58 € dhe në krahasim me periudhën janar - qershor të</t>
  </si>
  <si>
    <t xml:space="preserve"> për përfitues individual me 38.27 %  .</t>
  </si>
  <si>
    <t xml:space="preserve">                  Bartës i shpenzimeve për transfere dhe subvencione janë pagesat për subvencione për Entitete jopublike me 61.73 % dhe pagesat </t>
  </si>
  <si>
    <t xml:space="preserve"> subvencione sipas periudhave krahasuese për Drejtoritë përkatëse .</t>
  </si>
  <si>
    <t xml:space="preserve"> 112,127.00 € .</t>
  </si>
  <si>
    <t xml:space="preserve"> krahasim me periudhën janar - qershor të vitit 2011 .</t>
  </si>
  <si>
    <t xml:space="preserve">                  Për gjashtë muaj të vitit 2012 nga Buxheti komunal janë shpenzuar për investime kapitale mjete në vlerë prej 962,637.89 € , që </t>
  </si>
  <si>
    <t xml:space="preserve"> përbëjnë 67.44 % të financimit të shpenzimit të gjithmbarshëm për gjashtëmujorin e parë të vitit 2012 . Shikuar sipas Drejtorive ecuria e tyre </t>
  </si>
  <si>
    <t xml:space="preserve"> është si vijon :</t>
  </si>
  <si>
    <t xml:space="preserve">                  Burimi kryesor i financimit të investimeve kapitale janë mjetet e Grantit Qeveritar , të cilat kapin shumën prej 649,172.51 €  dhe </t>
  </si>
  <si>
    <t>Asfaltimi dhe rregull.me kubëza I rrugës " N.Ceku ", " E.Qabej "</t>
  </si>
  <si>
    <t>Nga tabela e mësipërme mund të përcjellet dinamika dhe struktura e projekteve të realizuara gjatë periudhës raportuese .</t>
  </si>
  <si>
    <t xml:space="preserve">                  Nga licencat për shërbime profesionale gjatë periudhës raportuese janë grumbulluar 16.67 % të të hyrave vetanake pranë</t>
  </si>
  <si>
    <t xml:space="preserve"> këtij Drejtorati , të cilat në fund të periudhës raportuese arrijnë shumën prej 2,240.00 € , duke shënuar tejkalim të planit për vitin 2012</t>
  </si>
  <si>
    <t xml:space="preserve"> këtij Drejtorati . Plani për vitin raportues është tejkaluar 78.70 % .</t>
  </si>
  <si>
    <t xml:space="preserve">                  Në emër të mallrave dhe shërbimeve janë shpenzuar 40,879.14 € ose 16.62 % të shpenzimeve të gjithmbarshme . Në raport me</t>
  </si>
  <si>
    <t xml:space="preserve"> Drejtorati . Në raport me periudhën krahasuese dinamika e tyre është më e ngadalshme për 28.92 % .</t>
  </si>
  <si>
    <t>Shpenzimet e gjithmbarshme buxhetore për gjashtëmujorin e parë të vitit 2012 kapin shumën prej 43,293.97 € gjegjësisht 8.20 %</t>
  </si>
  <si>
    <t xml:space="preserve"> me periudhën krahasuese dinamika e tyre është më e ngadalshme për 10.88 % dhe paraqesin realizim të planit për vitin raportues 32.73 % .</t>
  </si>
  <si>
    <t xml:space="preserve"> në periudhën e njajtë të vitit paraprak , ndërsa plani për vitin 2012 është realizuar 82.43 % . Në shumën e gjithmbarshme të shpenzimeve</t>
  </si>
  <si>
    <t xml:space="preserve"> të Buxhetit Komunal ky Drejtorat merr pjesë me 0.99 % .</t>
  </si>
  <si>
    <t xml:space="preserve"> respektivisht 45.20 % nga planifikimi vjetor . </t>
  </si>
  <si>
    <t xml:space="preserve">                  Gjatë periudhës janar - qershor të vitit 2012 Drejtorati për Gjeodezi e kadastër ka realizuar të hyra vetanake në vlerë prej 79,101.25 €</t>
  </si>
  <si>
    <t xml:space="preserve">          17519  -  BUXHET E FINANCA</t>
  </si>
  <si>
    <t xml:space="preserve"> është më e shpejtë për 4.14 % .</t>
  </si>
  <si>
    <t xml:space="preserve">                  Nga tatimi në pronë gjatë periudhës raportuese janë grumbulluar 65.58 % të të hyrave të gjithmbarshme pranë këtij Drejtorati .</t>
  </si>
  <si>
    <t xml:space="preserve"> Pranë dinamikës më të shpejtë për 14.71 % në raport me periudhën krahasuese , të hyrat e arketuara nga tatimi në pronë arrijnë shumën</t>
  </si>
  <si>
    <t xml:space="preserve"> prej 394,262.98 € ndërsa plani vjetor është realizuar 60.66 % . Sipas lartësisë së pjesëmarrjes pasojnë Licencat e ndryshme afariste me</t>
  </si>
  <si>
    <t xml:space="preserve"> me 15.52 % dhe taksat për regjistrim të automjeteve me 11.93 % .</t>
  </si>
  <si>
    <t xml:space="preserve"> periudhën e njajtë të vitit 2011 pagesat për mallra dhe shërbime shënojnë dinamikë më të lartë për 22.54 % dhe paraqesin realizim</t>
  </si>
  <si>
    <t xml:space="preserve">                      Shpenzimi i buxhetit për gjashtë muaj është si vijon :</t>
  </si>
  <si>
    <t xml:space="preserve"> Investime kapitale ( 18295+18423 )</t>
  </si>
  <si>
    <t>85019 - KULTURË , RINI , SPORT</t>
  </si>
  <si>
    <t>50008 - 1</t>
  </si>
  <si>
    <t>50409 - 8</t>
  </si>
  <si>
    <t>Participim - Biblioteka</t>
  </si>
  <si>
    <t>18019 - PUNË KOMUNALE , SHËRBIME TEKNIKE</t>
  </si>
  <si>
    <t>Licenca për pranim teknik të lokalit</t>
  </si>
  <si>
    <t>Gjobat nga inspektoriati - denimet mandatore</t>
  </si>
  <si>
    <t>Taksa për parkim publik , kampim , rekreacion</t>
  </si>
  <si>
    <t>Licenca , reklama publike në pronë publike</t>
  </si>
  <si>
    <t>Qiraja nga objektet publike</t>
  </si>
  <si>
    <t>Komente nga Drejtorati gjegjës :</t>
  </si>
  <si>
    <t>Komente nga Drejtorati për Buxhet e Financa :</t>
  </si>
  <si>
    <t>Aneks i rindërtimit të ndërtesës së Administratës</t>
  </si>
  <si>
    <t>Renovimi dhe mirëmbajtja e zyrave të vendit</t>
  </si>
  <si>
    <t>Blerja e gjeneratorit</t>
  </si>
  <si>
    <t>Kapital I imët</t>
  </si>
  <si>
    <t xml:space="preserve">Ujësjellësi në fshatrat e Lugut të Baranit               </t>
  </si>
  <si>
    <t xml:space="preserve">Ujësjellësi në fshatrat e Lugut të Leshanit        </t>
  </si>
  <si>
    <t>Asfaltimi i rrugëve " Salih Jaha  - Kristal "</t>
  </si>
  <si>
    <t>Asfaltimi i rrugëve " Xhorxh Viliams - Kristal "</t>
  </si>
  <si>
    <t>Rregullimi me kubëza dhe beton i disa rrugëve në B.T."Xh. Kada "</t>
  </si>
  <si>
    <t>Rregullimi i rrugëve "B. Llupi ", "F.Selca "dhe " Xh. Bajden "</t>
  </si>
  <si>
    <t>Asfaltimi i rrugës " Bajram Kelmendi "</t>
  </si>
  <si>
    <t>Struktura tjera  ( Hartimi I projekteve )</t>
  </si>
  <si>
    <t>Rekonst.i tërësishëm i rrugës nga OSBE - Rrethi - Vitomericë</t>
  </si>
  <si>
    <t>Zbukurimi I qytetit për festa</t>
  </si>
  <si>
    <t>Mirëmbajtja e varrezave</t>
  </si>
  <si>
    <t>Rregullimi i kanalizimit fekal në fshatin Kryshec</t>
  </si>
  <si>
    <t>Ndërtimi i ndriçimit publik</t>
  </si>
  <si>
    <t>Mirëmbajtja e rrugëve të paasfaltuara</t>
  </si>
  <si>
    <t>Mirëmbajtja e rrugëve në Rugovë</t>
  </si>
  <si>
    <t>Rregullimi i rrugëve lokale dhe kanalizim në fshatra</t>
  </si>
  <si>
    <t xml:space="preserve">Rregullimi i rrugësn në fshatin Shkrel - Faza e parë </t>
  </si>
  <si>
    <t>Asfaltimi i rrugës në fshatin Treboviq</t>
  </si>
  <si>
    <t>Asfaltimi i rrugës në fshatin Shtypeq I Madh</t>
  </si>
  <si>
    <t>Asfaltimi i rrugës në fshatin Bllagajë</t>
  </si>
  <si>
    <t>Asfaltimi i rrugës në fshatin Pavlan</t>
  </si>
  <si>
    <t>Gjenerator</t>
  </si>
  <si>
    <t>Ndërtimi i objektit të Emergjencës - Faza e dytë</t>
  </si>
  <si>
    <t>Mobile për objektin e ri</t>
  </si>
  <si>
    <t>Asfaltimi i rrugës së Bunarit</t>
  </si>
  <si>
    <t>Participimi në projekte për komunitete</t>
  </si>
  <si>
    <t>Participimi në projekte për turizëm</t>
  </si>
  <si>
    <t>Projekte për turizëm në qytetin e Pejës</t>
  </si>
  <si>
    <t>Sinjalizimi turistik</t>
  </si>
  <si>
    <t>Digjitalizimi i zonave kadastrale</t>
  </si>
  <si>
    <t>Kujdesi primar shëndetsor</t>
  </si>
  <si>
    <t>Regjen.urb.për trekënd.për Rokaq.-Stac.i autobus.-Rrethi OSBE</t>
  </si>
  <si>
    <t>Renovimi dhe mirëmbajtja e objekteve shëndetsore</t>
  </si>
  <si>
    <t>Renovimi dhe rindërtimi I  objekteve shëndetsore</t>
  </si>
  <si>
    <t>Renovimi dhe rindërtimi i ndërtesës për mirëqenie sociale</t>
  </si>
  <si>
    <t>Renovimi i Shtëpisë së Kulturës në Pejë -Faza e dytë</t>
  </si>
  <si>
    <t>Renovimi i objekteve shkollore</t>
  </si>
  <si>
    <t>Arsimi parashkollor - Qerdhet</t>
  </si>
  <si>
    <t>Renovimi dhe mirëmbajtja e Gjimnazit " Bedri Pejani "</t>
  </si>
  <si>
    <t>Viti 2011</t>
  </si>
  <si>
    <t>Participim me donator për rregullimin e stadionit</t>
  </si>
  <si>
    <t>Vendim</t>
  </si>
  <si>
    <t>Participim me donator për objektin e Llaushes</t>
  </si>
  <si>
    <t>Participim me qytetarë pë rregullimin e kanalit në fshatin Pavlan</t>
  </si>
  <si>
    <t>Participimi në projekte me Zyren e Komisionit Europian</t>
  </si>
  <si>
    <t>Asfaltimi i rrugës Ruhot - Trubuhovc - Staradran</t>
  </si>
  <si>
    <t>Plani I veprimit , qasjes në Rrafshin e Dukagjinit</t>
  </si>
  <si>
    <t>Arsimi - Administrata</t>
  </si>
  <si>
    <t xml:space="preserve"> Arsimi fillor</t>
  </si>
  <si>
    <t xml:space="preserve"> Arsimi i mesëm</t>
  </si>
  <si>
    <t>JANAR - QERSHOR 2012</t>
  </si>
  <si>
    <t xml:space="preserve"> planifikimi për vitin 2012 është realizuar 42.66 % .</t>
  </si>
  <si>
    <t xml:space="preserve">                     Gjatë periudhës janar - mars të vitit 2011 , pagesat e gjithmbarshme për mallra dhe shërbime kapin shumën prej 820,064.78 %</t>
  </si>
  <si>
    <t xml:space="preserve">                     Financimi I buxhetit për mallra dhe shërbime është bërë nga këto burime :</t>
  </si>
  <si>
    <t xml:space="preserve">                     Nga Granti Qeveritar është bërë financimi i shpenzimeve për mallra dhe shërbime në vlerë prej 554,876.80 € ose 67.66 % , </t>
  </si>
  <si>
    <t xml:space="preserve">                     Dinamika dhe struktura e pagesave për mallra dhe shërbime sipas kodeve ekonomike shënon ecuri të ndryshme , si në raport</t>
  </si>
  <si>
    <t xml:space="preserve"> me periudhën janar - mars të vitit 2011 , poashtu edhe në krahasim me planifikimin për vitin 2012.</t>
  </si>
  <si>
    <t xml:space="preserve"> plani për vitin 2012 . </t>
  </si>
  <si>
    <t>66100 - PLANIFIKIMI URBAN DHE MJEDISI</t>
  </si>
  <si>
    <t xml:space="preserve">Të hyrat nga shitja e pasurisë </t>
  </si>
  <si>
    <t>Taksa komunale për leje ndërtimi</t>
  </si>
  <si>
    <t>Licenca,reklama e publikime në prona publike</t>
  </si>
  <si>
    <t>73028 - SHËNDETËSIA - ADMINISTRATA</t>
  </si>
  <si>
    <t>74100 - SHËNDETËSIA - KUJDESI PRIMAR SHËNDETËSOR</t>
  </si>
  <si>
    <t>75590 - SHËNDETËSIA - SHËRBIMET SOCIALE</t>
  </si>
  <si>
    <t xml:space="preserve"> mjetet e bartura me 242.851.46 € ose 29.61 % , donacionet e jashtme me 15,249.40 € respektivisht 1.86 %  dhe të hyrat vetanake me </t>
  </si>
  <si>
    <t xml:space="preserve"> 7,087.12 € gjegjësisht 0.86 % .</t>
  </si>
  <si>
    <t xml:space="preserve">                     Vlen të ceket se pjesëmarrje më të konsiderueshme në shumën e gjithmbarshme paraqesin shpenzimet për derivate dhe lëndë</t>
  </si>
  <si>
    <t xml:space="preserve"> djegëse me 36.26 % dhe në krahasim me periudhën janar - mars 2012 janë më të larta për 395.56 % . Pjesëmarrje diç më të lartë shënojnë</t>
  </si>
  <si>
    <t xml:space="preserve"> edhe shpenzimet për shërbime me 27.88 % dhe blerjet tjera - mallra dhe shërbime me 12.90 % </t>
  </si>
  <si>
    <t xml:space="preserve"> me 12.90 % .</t>
  </si>
  <si>
    <t xml:space="preserve">                     Nga tabela e mëposhtme mund të përcjellet ecuria e të gjitha shpenzimeve të realizuara për këtë kategori buxhetore .</t>
  </si>
  <si>
    <t>Taksa komunale e regjistrimit të automjeteve</t>
  </si>
  <si>
    <t xml:space="preserve">                     Brenda Drejtorive , dinamika dhe struktura e pagesave për mallra dhe shërbime është e ndurduarshme , si në raport me </t>
  </si>
  <si>
    <t xml:space="preserve"> periudhën janar - mars të vitit 2011, poashtu edhe në raport me planifikimin vjetor për vitin 2012 .</t>
  </si>
  <si>
    <t>Dinamika dhe struktura e grumbullimit të të hyrave është si vijon :</t>
  </si>
  <si>
    <t>Tax çertifikatat e lindjes</t>
  </si>
  <si>
    <t>Tax çertifikatat e kurorëzimit</t>
  </si>
  <si>
    <t>Tax çertifikatat e vdekjes</t>
  </si>
  <si>
    <t xml:space="preserve">           Totali : </t>
  </si>
  <si>
    <t xml:space="preserve">Tax çertifikatat tjera të Ofiqarisë </t>
  </si>
  <si>
    <t xml:space="preserve">                     Shpenzimet e rrymës në periudhën raportuese kapin shumën prej 138,198.19 € dhe në krahasim me periudhën janar - mars të</t>
  </si>
  <si>
    <t xml:space="preserve"> vitit 2011 janë më të larta për 64.27 % . Pagesat për këtë destinim paraqesin 86.00 % të pagesave të gjithmbarshme për këtë</t>
  </si>
  <si>
    <t xml:space="preserve"> fundi shpenzimet për mbeturina me 4,271.00 € ose 2.66 % .</t>
  </si>
  <si>
    <t xml:space="preserve">                     Shikuar sipas njësive organizative shpenzimet komunale kanë ecurinë si vijon : </t>
  </si>
  <si>
    <t xml:space="preserve">                     Për tre muaj të vitit 2012 në emër të transfereve dhe subvencioneve janë paguar 162,230.00 € , që është 57.12 % nga plani </t>
  </si>
  <si>
    <t xml:space="preserve"> për vitin 2012 , respektivisht 551.13 % më shumë se gjatë periudhës krahasuese .</t>
  </si>
  <si>
    <t xml:space="preserve">                     Pagesat e lartëcekura janë financuar nga burimet e mëposhtme .</t>
  </si>
  <si>
    <t xml:space="preserve">                     Bartës i shpenzimeve për transfere dhe subvencione janë pagesat për përfitues individual ( 60.53 % ) dhe subvencionet për </t>
  </si>
  <si>
    <t xml:space="preserve"> Entitete jopublike ( 39.47 % ) .</t>
  </si>
  <si>
    <t>Asf.i rrugës " Ploja e Fierzës , Naum Veqilharxhi dhe Zhujë Veseli"</t>
  </si>
  <si>
    <t>Kanali i ujitjes në fshatin Qyshk</t>
  </si>
  <si>
    <t>Kanali i ujitjes në fshatin Jabllanicë e Leshanit</t>
  </si>
  <si>
    <t xml:space="preserve">Ndërtimi i objektit të Emergjencës </t>
  </si>
  <si>
    <t>Ndërtimi i pendes në fshatin Poqestë</t>
  </si>
  <si>
    <t>Ndërtimi i diges në fshatin Qallapek</t>
  </si>
  <si>
    <t>Kanali i ujitjes në fshatin Llabjan</t>
  </si>
  <si>
    <t>Hartimi i strategjisë për zhvillimin ekonomik</t>
  </si>
  <si>
    <t>Rivitalizimi i hapsirës</t>
  </si>
  <si>
    <t>Rregullimi i Zyrës së vendit Zahaq</t>
  </si>
  <si>
    <t>Rregullimi i kanalit në fshatin Kotradiq</t>
  </si>
  <si>
    <t>Renovimi i zyrave në Drejtoratin - Kadaster dhe gjeodezi</t>
  </si>
  <si>
    <t>Rregullimi i kanalizimeve dhe rrugëve lokale në qytet</t>
  </si>
  <si>
    <t>Servisimi i radiolidhjeve</t>
  </si>
  <si>
    <t>Projektimi i planeve urbanistike</t>
  </si>
  <si>
    <t>Renovimi i Teatrit  " Istref. Begolli "  - Faza e dytë</t>
  </si>
  <si>
    <t>Rregullimi i objekteve dhe tereneve sportive</t>
  </si>
  <si>
    <t>Rregullimi i hapsirave rreth objekteve sportive</t>
  </si>
  <si>
    <t>Rreg.i nxem.qendr.në Pales.sport dhe në Kino -Teatri"J.Gërvalla "</t>
  </si>
  <si>
    <t>Punimi i nënkalimit në fshatin Vitomericë</t>
  </si>
  <si>
    <t>Renovimi i objekteve parashkollore</t>
  </si>
  <si>
    <t>Renovimi i nxemjes në Shkollën  fillore " Xhemajl Kada "</t>
  </si>
  <si>
    <t xml:space="preserve">Renovimi i shkollave të mesme </t>
  </si>
  <si>
    <t xml:space="preserve"> dhe subvencione sipas periudhave krahasuese për Drejtoritë përkatëse .</t>
  </si>
  <si>
    <t>63550208</t>
  </si>
  <si>
    <t>635502081</t>
  </si>
  <si>
    <t>63550019</t>
  </si>
  <si>
    <t>63550017</t>
  </si>
  <si>
    <t>600.00</t>
  </si>
  <si>
    <t>63550101</t>
  </si>
  <si>
    <t>63540110</t>
  </si>
  <si>
    <t>63550290</t>
  </si>
  <si>
    <t>63550403</t>
  </si>
  <si>
    <t>Shitja e aseteve Komunale</t>
  </si>
  <si>
    <t>63550001</t>
  </si>
  <si>
    <t>Licencat e veturave</t>
  </si>
  <si>
    <t>63550008</t>
  </si>
  <si>
    <t>63550205</t>
  </si>
  <si>
    <t>63550501</t>
  </si>
  <si>
    <t xml:space="preserve">Të hyrat nga shitja e Mallrave </t>
  </si>
  <si>
    <t>63550507</t>
  </si>
  <si>
    <t>Të hyrat nga Sanitarija</t>
  </si>
  <si>
    <t>63550102</t>
  </si>
  <si>
    <t>Tatimi i ndalur në burim në të ardhura personale</t>
  </si>
  <si>
    <t>Shpenzimet e udhëtimit zyrtar brenda vendit</t>
  </si>
  <si>
    <t>Shpenzimet tjera të udhëtimit zyrt.brenda vendit</t>
  </si>
  <si>
    <t>Akomodimi gjatë udhëtimit zyrtar brenda vendit</t>
  </si>
  <si>
    <t>Shpenzimet e udhëtimit zyrtar jashtë vendit</t>
  </si>
  <si>
    <t>Akomodimi gjatë udhëtimit zyrtar jashtë vendit</t>
  </si>
  <si>
    <t>Shpenzimet tjera të udhëtimit zyrt.jashtë vendit</t>
  </si>
  <si>
    <t>Shërb.të ndryshme intelektuale dhe këshillëdh.</t>
  </si>
  <si>
    <t>Blerje e mobileve dhe paisjeve ( &lt;1000 € )</t>
  </si>
  <si>
    <t>Blerje tjera - mallra dhe shërbime</t>
  </si>
  <si>
    <t>Harduer për teknnologji inform.( &lt; se 1.000 € )</t>
  </si>
  <si>
    <t>Furnizim me ushqim dhe pije (jo dreka zyrtare)</t>
  </si>
  <si>
    <t>Shërbimet e regjistrimit dhe sigurimit</t>
  </si>
  <si>
    <t>Administrata dhe personeli</t>
  </si>
  <si>
    <t xml:space="preserve"> gjegjësisht 105,459.00 € . Ecuria e grumbullimit të të hyrave pranë Drejtorateve tjera mund të përcjellet nga pasqyrimi I mësipëm tabelar .</t>
  </si>
  <si>
    <t xml:space="preserve"> respektivisht 241,612.11 € . Përqindje diç më të lartë të realizimit shënon edhe Drejtorati për Planifikim urban dhe mjedis me 20.29 % ,</t>
  </si>
  <si>
    <t>Analiza mbi shpenzimet e realizuara të buxhetit komunal për periudhën janar - mars të vitit 2012 është punuar me qëllim të</t>
  </si>
  <si>
    <t xml:space="preserve">                  Në emër të mallrave dhe shërbimeve janë shpenzuar 51,373.97 € ose 6.87 % të shpenzimeve të gjithmbarshme . Në raport me</t>
  </si>
  <si>
    <t xml:space="preserve">  të planit për vitin 2012 në lartësi prej 42.81 % . </t>
  </si>
  <si>
    <t xml:space="preserve">                  Gjatë periudhës janar - qershor të vitit 2012 janë shpenzuar për shpenzime komunale mjete në vlerë prej  66,145.75 € ose</t>
  </si>
  <si>
    <t xml:space="preserve"> marrin pjesë me 8.85 % .</t>
  </si>
  <si>
    <t xml:space="preserve"> 58.01 % më shumë se në gjashtëmujorin e parë të vitit 2011. Në shumën e gjithmbarshme të shpenzimeve pagesat për këtë kategori buxhetore</t>
  </si>
  <si>
    <t xml:space="preserve">                  Pagesat për investime kapitale për gjashtë muaj të vitit raportues kapin shumën prej 607,687.51 € dhe përbëjnë 81.29 % të </t>
  </si>
  <si>
    <t>Gjatë periudhës janar - qershor të vitit 2012  Emergjenca - Zjarrëfikësat nuk kanë grumbulluar të hyra vetanake , por ,as që janë</t>
  </si>
  <si>
    <t>Shpenzimet e gjithmbarshme buxhetore për periudhën raportuese kapin shumën prej 245,904.35 € gjegjësisht 108.88 % më</t>
  </si>
  <si>
    <t xml:space="preserve"> shumë se në periudhën e njajtë të vitit paraprak , ndërsa plani për vitin 2012 është realizuar 62.10 % . Në shumën e gjithmbarshme të </t>
  </si>
  <si>
    <t xml:space="preserve"> shpenzimeve të Buxhetit Komunal ky Drejtorat merr pjesë me 2.98 % .</t>
  </si>
  <si>
    <t xml:space="preserve">                  Pagat dhe meditjet për periudhën raportuese kapin shumën prej  92,387.72 € . Në krahasim me periudhën janar - qershor të vitit 2011</t>
  </si>
  <si>
    <t xml:space="preserve">                  Gjatë periudhës janar - qershor të vitit 2012 Drejtorati për Planifikim urban dhe mjedis ka realizuar të hyra vetanake në vlerë prej </t>
  </si>
  <si>
    <t xml:space="preserve">232,185.94 € respektivisht 36.28 % nga planifikimi vjetor . </t>
  </si>
  <si>
    <t xml:space="preserve"> është më e shpejtë për 7.43 % .</t>
  </si>
  <si>
    <t xml:space="preserve">                  Nga Taksat komunale për leje ndërtimi gjatë periudhës raportuese janë grumbulluar 94.40 % të të hyrave të gjithmbarshme</t>
  </si>
  <si>
    <t xml:space="preserve"> pranë këtij Drejtorati , të cilat në fund të periudhës raportuese arrijnë shumën prej 219,177.94 € , duke shënuar realizim të planit për vitin </t>
  </si>
  <si>
    <t xml:space="preserve"> 2012 në lartësi prej 38.45 % dhe dinamikë më të shpejtë në raport me periudhën krahasuese për 8.31 % .</t>
  </si>
  <si>
    <t xml:space="preserve">                  Nga licencat , reklama e publikime në prona publike janë grumbulluar 11,599.00 € , gjegjësisht 5.00 % të të hyrave të </t>
  </si>
  <si>
    <t xml:space="preserve"> gjithmbarshme dhe 1,409.00 € gjegjësisht 0.61 % nga shfrytëzimi i pronës publike .</t>
  </si>
  <si>
    <t xml:space="preserve"> më shumë se në periudhën e njajtë të vitit paraprak , ndërsa plani për vitin 2012 është realizuar 44.14 % . Në shumën e gjithmbarshme të </t>
  </si>
  <si>
    <t xml:space="preserve"> shpenzimeve të Buxhetit Komunal ky Drejtorat merr pjesë me 1.33 % .</t>
  </si>
  <si>
    <t xml:space="preserve">                  Pagat dhe meditjet për periudhën raportuese kapin shumën prej 23,965.76 € . Në krahasim me periudhën janar - qershor të vitit</t>
  </si>
  <si>
    <t xml:space="preserve"> 2011 pagesat për këtë kategori shënojnë dinamikë më të shpejtë për 16.46 % , ndërsa plani për vitin 2012 është realizuar 43.57 % .</t>
  </si>
  <si>
    <t xml:space="preserve">                  Në shumën e gjithmbarshme të shpenzimeve buxhetore pagat dhe meditjet marrin pjesë me 24.57 % .</t>
  </si>
  <si>
    <t xml:space="preserve">                  Në emër të mallrave dhe shërbimeve janë shpenzuar 16,116.35 € ose 16.52 % të shpenzimeve të gjithmbarshme . </t>
  </si>
  <si>
    <t xml:space="preserve">                  Pagesat për investime kapitale për gjashtë muaj të vitit raportues kapin shumën prej 57,470.00 € dhe përbëjnë 58.91 % të </t>
  </si>
  <si>
    <t>shpenzimeve të realizuara për gjashtë muaj të vitit 2012 .</t>
  </si>
  <si>
    <t xml:space="preserve">                  Gjatë periudhës janar - qershor të vitit 2012 shpenzimet e gjithmbarshme buxhetore kapin shumën prej 15,515.95 € ose 65.96 %</t>
  </si>
  <si>
    <t xml:space="preserve"> më shumë se në periudhën e njajtë të vitit paraprak , ndërsa plani për vitin raportues është realizuar 37.69 % . </t>
  </si>
  <si>
    <t xml:space="preserve">                  Pagat dhe meditjet për periudhën raportuese kapin shumën prej 10,400.85 € . Në krahasim me periudhën janar - qershor të vitit</t>
  </si>
  <si>
    <t xml:space="preserve">                  Në shumën e gjithmbarshme të shpenzimeve buxhetore pagat dhe meditjet marrin pjesë me 67.03 % .</t>
  </si>
  <si>
    <t xml:space="preserve">                  Në emër të mallrave dhe shërbimeve janë shpenzuar 5,115.10 € ose 32.97 % të shpenzimeve të gjithmbarshme . Në raport </t>
  </si>
  <si>
    <t xml:space="preserve"> me periudhën krahasuese dinamika e tyre është më e shpejtë për 923.02 % dhe paraqesin realizim të planit për vitin raportues 51.15 % .</t>
  </si>
  <si>
    <t xml:space="preserve">                  Gjatë periudhës janar - qershor të vitit 2012 janë realizuar të hyra vetanake në vlerë prej 52,034.90 € , ose , 63.55% më shumë se </t>
  </si>
  <si>
    <t>Shpenzimet e gjithmbarshme buxhetore për gjashtëmujorin e parë të vitit 2012 kapin shumën prej 1,104,505.04 € ose 10.29 %</t>
  </si>
  <si>
    <t xml:space="preserve">                  Pagat dhe meditjet për periudhën raportuese kapin shumën prej  740,358.51 € . Në krahasim me periudhën janar - qershor të vitit</t>
  </si>
  <si>
    <t xml:space="preserve"> 2011 pagesat për këtë kategori shënojnë dinamikë më të shpejtë për 7.34 % , ndërsa plani për vitin 2012 është realizuar 41.85 % .</t>
  </si>
  <si>
    <t xml:space="preserve">                  Në emër të mallrave dhe shërbimeve janë shpenzuar 309,606.40 € ose 28.03 % të shpenzimeve të gjithmbarshme . </t>
  </si>
  <si>
    <t xml:space="preserve">                  Gjatë periudhës janar - qershor të vitit 2012 janë shpenzuar për shpenzime komunale 54,540.13 €  dhe paraqesin realizim të planit</t>
  </si>
  <si>
    <t xml:space="preserve"> vjetor 54.73 % . Në shumën e gjithmbarshme të shpenzimeve buxhetore pagesat për këtë kategori buxhetore marrin pjesë me 4.94 % .</t>
  </si>
  <si>
    <t xml:space="preserve"> më shumë se në periudhën e njajtë të vitit paraprak , ndërsa plani për vitin raportues është realizuar 44.07 % . </t>
  </si>
  <si>
    <t xml:space="preserve">                  Gjatë periudhës janar - qershor të vitit 2012 shpenzimet e gjithmbarshme buxhetore kapin shumën prej 74,474.76 € ose 47.41 % </t>
  </si>
  <si>
    <t xml:space="preserve">                  Pagat dhe meditjet për periudhën raportuese kapin shumën prej 31,740.44 € . Në krahasim me periudhën janar - qershor të vitit</t>
  </si>
  <si>
    <t xml:space="preserve"> 2011 pagesat për këtë kategori shënojnë dinamikë më të shpejtë për 21.07 % , ndërsa plani për vitin 2012 është realizuar 35.27 % .</t>
  </si>
  <si>
    <t xml:space="preserve">                  Në shumën e gjithmbarshme të shpenzimeve buxhetore pagat dhe meditjet marrin pjesë me 42.62 % .</t>
  </si>
  <si>
    <t xml:space="preserve">                  Në emër të mallrave dhe shërbimeve janë shpenzuar 25,299.55 € ose 33.97 % të shpenzimeve të gjithmbarshme . </t>
  </si>
  <si>
    <t xml:space="preserve">                  Pagesat për shpenzime komunale për gjashtë muaj të vitit raportues kapin shumën prej 3,704.77 € dhe përbëjnë 4.97 % të </t>
  </si>
  <si>
    <t xml:space="preserve"> shpenzimeve buxhetore . Në raport me periudhën krahasuese dinamika e tyre është më e shpejtë për 15.99 % ndërsa plani për vitin </t>
  </si>
  <si>
    <t xml:space="preserve"> raportues është realizuar 41.16 % .</t>
  </si>
  <si>
    <t xml:space="preserve">                  Për gjashtë muaj të vitit 2012 në emër të transfereve dhe subvencioneve janë paguar 13,730.00 € , që është 45.77 % nga plani </t>
  </si>
  <si>
    <t xml:space="preserve"> për vitin 2012 , respektivisht 18.44 % nga shuma e gjithmbarshme e shpenzimeve për periudhën raportuese .</t>
  </si>
  <si>
    <t>Shërbimet tjera kontraktuese përbëjnë 19.18 % të pagesave për mallra dhe shërbime dhe në fund të periudhës raportuese kapin</t>
  </si>
  <si>
    <t xml:space="preserve"> shumën prej 59,377.00 € .</t>
  </si>
  <si>
    <t xml:space="preserve"> si dhe ngritja e çmimit të derivateve .</t>
  </si>
  <si>
    <t xml:space="preserve"> mallra dhe shërbime ;</t>
  </si>
  <si>
    <t xml:space="preserve">Tek investimet kapitale poashtu kanë ndikuar pagesat nga mjetet e bartura nga viti 2011dhe atë 32,925.00 € për ndërtesa </t>
  </si>
  <si>
    <t xml:space="preserve"> administrative afariste dhe 3,920.00 € kapital tjetër , të cilat paraqesin 63.90 % të pagesave për këtë kategori buxhetore .</t>
  </si>
  <si>
    <t xml:space="preserve">             Në shumën e gjithmbarshme të shpenzimeve buxhetore pagat dhe meditjet marrin pjesë me  21.81 % .</t>
  </si>
  <si>
    <t xml:space="preserve">             Në emër të mallrave dhe shërbimeve janë shpenzuar 209,915.32 € ose 51.86 % të shpenzimeve të gjithmbarshme . Në raport </t>
  </si>
  <si>
    <t xml:space="preserve">             Gjatë periudhës janar -qershor të vitit 2012 janë shpenzuar për shpenzime komunale 48,910.51 €  dhe paraqesin realizim të planit</t>
  </si>
  <si>
    <t xml:space="preserve">             Në shumën e gjithmbarshme të shpenzimeve buxhetore pagesat për shpenzime komunale marrin pjesë me  12.08 % .</t>
  </si>
  <si>
    <t xml:space="preserve">             Gjatë periudhës janar - qershor të vitit 2012 janë shpenzuar për investime kapitale mjete në vlerë prej  57,660.00 € dhe paraqesin </t>
  </si>
  <si>
    <t xml:space="preserve">             Në shumën e gjithmbarshme të shpenzimeve buxhetore pagesat për investime kapitale marrin pjesë me  14.25 % .</t>
  </si>
  <si>
    <t xml:space="preserve">         - Obligimet e kryera të vitit paraprak në shumë prej 49,971.92 € , respektivisht 23.81 % të pagesave të gjithmbarshme për</t>
  </si>
  <si>
    <t xml:space="preserve">         - Shpenzimet tjera kontraktuese në vlerë prej 72,920.17 € , të cilat paraqesin 34.74 % të shpenzimeve për mallra dhe shërbime </t>
  </si>
  <si>
    <t xml:space="preserve">              Pagat dhe meditjet për periudhën raportuese kapin shumën prej 899,201.42 € . Në krahasim me periudhën janar - qershor të vitit</t>
  </si>
  <si>
    <t xml:space="preserve">              Në shumën e gjithmbarshme të shpenzimeve buxhetore pagat dhe meditjet marrin pjesë me 95.33 % .</t>
  </si>
  <si>
    <t xml:space="preserve">              Në emër të mallrave dhe shërbimeve janë shpenzuar 29,853.61 € ose 3.16 % të shpenzimeve të gjithmbarshme . </t>
  </si>
  <si>
    <t xml:space="preserve">              Pagesat për shpenzime komunale për gjashtë muaj të vitit raportues kapin shumën prej 14,232.86 € dhe përbëjnë 1.51 % të </t>
  </si>
  <si>
    <t xml:space="preserve">             Shpenzimi i buxhetit për gjashtë muaj është si vijon :</t>
  </si>
  <si>
    <t xml:space="preserve">             Gjatë periudhës janar - qershor të vitit 2012 të hyrat vetanake kapin shumën prej 72,121.00 € respektivisht 128.30 % më shumë</t>
  </si>
  <si>
    <t xml:space="preserve">              Pagesat për shpenzime komunale për gjashtë muaj të vitit raportues kapin shumën prej 32,552.46 € dhe përbëjnë 1.62 % të </t>
  </si>
  <si>
    <t xml:space="preserve">              Në emër të mallrave dhe shërbimeve janë shpenzuar 76,796.75 € ose 3.81 % të shpenzimeve të gjithmbarshme . </t>
  </si>
  <si>
    <t xml:space="preserve">              Në shumën e gjithmbarshme të shpenzimeve buxhetore pagat dhe meditjet marrin pjesë me 94.57 % .</t>
  </si>
  <si>
    <t xml:space="preserve">              Pagat dhe meditjet për periudhën raportuese kapin shumën prej  1,904,496.08 € . Në krahasim me periudhën janar - qershor të vitit</t>
  </si>
  <si>
    <t xml:space="preserve">              Shpenzimi i buxhetit për gjashtë muaj është si vijon :</t>
  </si>
  <si>
    <t xml:space="preserve">              Në raport me periudhën e njajtë të vitit paraprak dinamika e të hyrave është më e ngadalshme për 5.50 % .</t>
  </si>
  <si>
    <t xml:space="preserve">              Gjatë periudhës janar - qershor të vitit 2012 të hyrat e gjithmbarshme kapin shumën prej 1,247.40 € dhe kanë të bëjnë me </t>
  </si>
  <si>
    <t xml:space="preserve">              Pagesat për shpenzime komunale për gjashtë muaj të vitit raportues kapin shumën prej 6,187.14 € dhe përbëjnë 4.44 % të </t>
  </si>
  <si>
    <t xml:space="preserve">              Në emër të mallrave dhe shërbimeve janë shpenzuar 36,146.97 € ose 25.97 % të shpenzimeve të gjithmbarshme . </t>
  </si>
  <si>
    <t xml:space="preserve">              Në shumën e gjithmbarshme të shpenzimeve buxhetore pagat dhe meditjet marrin pjesë me 69.59 % .</t>
  </si>
  <si>
    <t xml:space="preserve">              Pagat dhe meditjet për periudhën raportuese kapin shumën prej  96,859.97 € . Në krahasim me periudhën janar - qershor të vitit</t>
  </si>
  <si>
    <t xml:space="preserve">              Participimet në fund të periudhës raportuese kapin shumën prej 36,675.00 € dhe paraqesin burimin e vetëm të grumbullimit të </t>
  </si>
  <si>
    <t xml:space="preserve">              Në raport me periudhën e njajtë të vitit paraprak dinamika e grumbullimit të të hyrave gjatë periudhës janar - qershor të vitit 2012 </t>
  </si>
  <si>
    <t xml:space="preserve">              Gjatë periudhës janar - qershor të vitit 2012  të hyrat vetanake janë realizuar në vlerë prej 36,675.00 € respektivisht 43.15 %</t>
  </si>
  <si>
    <t xml:space="preserve">              Pagesat për investime kapitale për gjashtë muaj të vitit raportues kapin shumën prej 12,796.00 € dhe përbëjnë 4.80 % të </t>
  </si>
  <si>
    <t xml:space="preserve">              Pagesat për shpenzime komunale për gjashtë muaj të vitit raportues kapin shumën prej 1,772.70 € dhe përbëjnë 0.67 % të </t>
  </si>
  <si>
    <t xml:space="preserve">              Në emër të mallrave dhe shërbimeve janë shpenzuar 229,245.32 € ose 86.02 % të shpenzimeve të gjithmbarshme . </t>
  </si>
  <si>
    <t xml:space="preserve">              Në shumën e gjithmbarshme të shpenzimeve buxhetore pagat dhe meditjet marrin pjesë me 8.52 % .</t>
  </si>
  <si>
    <t xml:space="preserve">              Pagat dhe meditjet për periudhën raportuese kapin shumën prej  22,694.96 € . Në krahasim me periudhën janar - qershor të vitit</t>
  </si>
  <si>
    <t xml:space="preserve">              Pagesat për investime kapitale për gjashtë muaj të vitit raportues kapin shumën prej 62,080.40 € dhe përbëjnë 21.76 % të </t>
  </si>
  <si>
    <t xml:space="preserve">               Pagesat për shpenzime komunale për gjashtë muaj të vitit raportues kapin shumën prej 38,916.42 € dhe përbëjnë 13.64 % të </t>
  </si>
  <si>
    <t xml:space="preserve">               Në emër të mallrave dhe shërbimeve janë shpenzuar 109,044.40 € ose 38.22 % të shpenzimeve të gjithmbarshme . </t>
  </si>
  <si>
    <t xml:space="preserve">               Në shumën e gjithmbarshme të shpenzimeve buxhetore pagat dhe meditjet marrin pjesë me 26.39 % .</t>
  </si>
  <si>
    <t xml:space="preserve">               Pagat dhe meditjet për periudhën raportuese kapin shumën prej  75,290.41 € . Në krahasim me periudhën janar - qershor të vitit</t>
  </si>
  <si>
    <t xml:space="preserve">                  Në shumën e gjithmbarshme të shpenzimeve buxhetore pagesat për shpenzime komunale marrin pjesë me 2.76 % .</t>
  </si>
  <si>
    <t xml:space="preserve">                  Për gjashtë muaj të vitit 2012 në emër të transfereve dhe subvencioneve janë paguar 70,000.00 € , ose 28.47 % nga shuma e </t>
  </si>
  <si>
    <t xml:space="preserve">                  Gjatë periudhës janar - qershor të vitit 2012 janë shpenzuar për investime kapitale mjete në vlerë prej  35,848.10 € dhe paraqesin realizim</t>
  </si>
  <si>
    <t xml:space="preserve"> të planit vjetor 31.45 % .</t>
  </si>
  <si>
    <t xml:space="preserve">                  Në shumën e gjithmbarshme të shpenzimeve buxhetore pagesat për investime kapitale marrin pjesë me  14.58 % .</t>
  </si>
  <si>
    <t>Shpenzimet e gjithmbarshme buxhetore për gjashtë muaj të vitit 2012 kapin shumën prej 78,593.87 € gjegjësisht 324.27 %</t>
  </si>
  <si>
    <t xml:space="preserve">                   Në raport me periudhën e njajtë të vitit paraprak dinamika e grumbullimit të të hyrave gjatë periudhës janar - qershor të vitit 2012 </t>
  </si>
  <si>
    <t xml:space="preserve"> 10,038.25 € dhe paraqesin tejkalim të planit vjetor 100.77 % .</t>
  </si>
  <si>
    <t xml:space="preserve"> është më e shpejtë për 65.27 % .</t>
  </si>
  <si>
    <t xml:space="preserve">                  Nga taksat për parkim publik , kampim dhe rekreacion gjatë periudhës raportuese janë grumbulluar 63.95 % të të hyrave të</t>
  </si>
  <si>
    <t xml:space="preserve"> gjithmbarshme pranë këtij Drejtorati , të cilat në fund të periudhës raportuese arrijnë shumën prej 6,419.00 € , duke shënuar tejkalim të</t>
  </si>
  <si>
    <t xml:space="preserve"> planit për vitin 2012 në lartësi prej 28.38 % .</t>
  </si>
  <si>
    <t xml:space="preserve">                  Nga participimet nga Biblioteka janë grumbulluar 3,619.25 € , gjegjësisht 36.05 % të të hyrave të gjithmbarshme .</t>
  </si>
  <si>
    <t>Shpenzimet e gjithmbarshme buxhetore për gjashtëmujorin e parë të vitit 2012 kapin shumën prej 285,331.63 € ose 124.11 %</t>
  </si>
  <si>
    <t xml:space="preserve"> më shumë se në periudhën e njajtë të vitit paraprak , ndërsa plani për vitin 2012 është realizuar 53.91 % . Në shumën e gjithmbarshme të </t>
  </si>
  <si>
    <t xml:space="preserve"> shpenzimeve të Buxhetit Komunal ky Drejtorat merr pjesë me 3.89 % .</t>
  </si>
  <si>
    <t xml:space="preserve"> 2011 pagesat për këtë kategori shënojnë dinamikë më të shpejtë për 1.57 % , ndërsa plani për vitin 2012 është realizuar 38.41 % 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</si>
</sst>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6"/>
      <color indexed="8"/>
      <name val="Calibri"/>
      <family val="2"/>
    </font>
    <font>
      <b/>
      <sz val="22"/>
      <color indexed="8"/>
      <name val="Arial"/>
      <family val="2"/>
    </font>
    <font>
      <sz val="14"/>
      <color indexed="8"/>
      <name val="Calibri"/>
      <family val="2"/>
    </font>
    <font>
      <u val="single"/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1.5"/>
      <name val="Times New Roman"/>
      <family val="1"/>
    </font>
    <font>
      <b/>
      <sz val="11.5"/>
      <name val="Arial"/>
      <family val="2"/>
    </font>
    <font>
      <b/>
      <sz val="11.5"/>
      <color indexed="8"/>
      <name val="Times New Roman"/>
      <family val="1"/>
    </font>
    <font>
      <b/>
      <sz val="11.5"/>
      <color indexed="10"/>
      <name val="Times New Roman"/>
      <family val="1"/>
    </font>
    <font>
      <b/>
      <sz val="11.5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8"/>
      <color indexed="10"/>
      <name val="Times New Roman"/>
      <family val="1"/>
    </font>
    <font>
      <sz val="20"/>
      <color indexed="12"/>
      <name val="Times New Roman"/>
      <family val="1"/>
    </font>
    <font>
      <b/>
      <sz val="22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2" fontId="12" fillId="0" borderId="10" xfId="0" applyNumberFormat="1" applyFont="1" applyBorder="1" applyAlignment="1">
      <alignment horizontal="center" vertical="center" wrapText="1"/>
    </xf>
    <xf numFmtId="12" fontId="12" fillId="0" borderId="14" xfId="0" applyNumberFormat="1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right" vertical="center" wrapText="1"/>
    </xf>
    <xf numFmtId="10" fontId="12" fillId="34" borderId="10" xfId="0" applyNumberFormat="1" applyFont="1" applyFill="1" applyBorder="1" applyAlignment="1">
      <alignment horizontal="right" vertical="center" wrapText="1"/>
    </xf>
    <xf numFmtId="10" fontId="12" fillId="34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right" vertical="center" wrapText="1"/>
    </xf>
    <xf numFmtId="164" fontId="13" fillId="33" borderId="10" xfId="0" applyNumberFormat="1" applyFont="1" applyFill="1" applyBorder="1" applyAlignment="1">
      <alignment horizontal="right" vertical="center" wrapText="1"/>
    </xf>
    <xf numFmtId="10" fontId="13" fillId="33" borderId="10" xfId="0" applyNumberFormat="1" applyFont="1" applyFill="1" applyBorder="1" applyAlignment="1">
      <alignment horizontal="right" vertical="center" wrapText="1"/>
    </xf>
    <xf numFmtId="10" fontId="13" fillId="33" borderId="1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2" fillId="34" borderId="10" xfId="0" applyNumberFormat="1" applyFont="1" applyFill="1" applyBorder="1" applyAlignment="1">
      <alignment vertical="center" wrapText="1"/>
    </xf>
    <xf numFmtId="10" fontId="12" fillId="34" borderId="10" xfId="0" applyNumberFormat="1" applyFont="1" applyFill="1" applyBorder="1" applyAlignment="1">
      <alignment vertical="center" wrapText="1"/>
    </xf>
    <xf numFmtId="10" fontId="12" fillId="34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vertical="center" wrapText="1"/>
    </xf>
    <xf numFmtId="10" fontId="12" fillId="33" borderId="10" xfId="0" applyNumberFormat="1" applyFont="1" applyFill="1" applyBorder="1" applyAlignment="1">
      <alignment vertical="center" wrapText="1"/>
    </xf>
    <xf numFmtId="10" fontId="12" fillId="33" borderId="10" xfId="0" applyNumberFormat="1" applyFont="1" applyFill="1" applyBorder="1" applyAlignment="1">
      <alignment vertical="center"/>
    </xf>
    <xf numFmtId="10" fontId="12" fillId="33" borderId="10" xfId="0" applyNumberFormat="1" applyFont="1" applyFill="1" applyBorder="1" applyAlignment="1">
      <alignment horizontal="right" vertical="center"/>
    </xf>
    <xf numFmtId="10" fontId="15" fillId="34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vertical="center" wrapText="1"/>
    </xf>
    <xf numFmtId="10" fontId="13" fillId="33" borderId="10" xfId="0" applyNumberFormat="1" applyFont="1" applyFill="1" applyBorder="1" applyAlignment="1">
      <alignment vertical="center" wrapText="1"/>
    </xf>
    <xf numFmtId="10" fontId="13" fillId="33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12" fontId="12" fillId="0" borderId="15" xfId="0" applyNumberFormat="1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10" fontId="9" fillId="34" borderId="10" xfId="0" applyNumberFormat="1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34" borderId="10" xfId="0" applyNumberFormat="1" applyFont="1" applyFill="1" applyBorder="1" applyAlignment="1">
      <alignment horizontal="right" vertical="center" wrapText="1"/>
    </xf>
    <xf numFmtId="43" fontId="12" fillId="0" borderId="0" xfId="42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3" fontId="12" fillId="34" borderId="10" xfId="42" applyFont="1" applyFill="1" applyBorder="1" applyAlignment="1">
      <alignment vertical="center"/>
    </xf>
    <xf numFmtId="4" fontId="14" fillId="34" borderId="10" xfId="0" applyNumberFormat="1" applyFont="1" applyFill="1" applyBorder="1" applyAlignment="1">
      <alignment vertical="center" wrapText="1"/>
    </xf>
    <xf numFmtId="10" fontId="14" fillId="34" borderId="10" xfId="0" applyNumberFormat="1" applyFont="1" applyFill="1" applyBorder="1" applyAlignment="1">
      <alignment vertical="center" wrapText="1"/>
    </xf>
    <xf numFmtId="10" fontId="14" fillId="34" borderId="10" xfId="0" applyNumberFormat="1" applyFont="1" applyFill="1" applyBorder="1" applyAlignment="1">
      <alignment vertical="center"/>
    </xf>
    <xf numFmtId="10" fontId="14" fillId="34" borderId="10" xfId="0" applyNumberFormat="1" applyFont="1" applyFill="1" applyBorder="1" applyAlignment="1">
      <alignment horizontal="right" vertical="center"/>
    </xf>
    <xf numFmtId="10" fontId="14" fillId="34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4" fontId="13" fillId="33" borderId="10" xfId="0" applyNumberFormat="1" applyFont="1" applyFill="1" applyBorder="1" applyAlignment="1">
      <alignment horizontal="right" vertical="center"/>
    </xf>
    <xf numFmtId="10" fontId="9" fillId="34" borderId="10" xfId="0" applyNumberFormat="1" applyFont="1" applyFill="1" applyBorder="1" applyAlignment="1">
      <alignment horizontal="right" vertical="center" wrapText="1"/>
    </xf>
    <xf numFmtId="10" fontId="6" fillId="34" borderId="10" xfId="0" applyNumberFormat="1" applyFont="1" applyFill="1" applyBorder="1" applyAlignment="1">
      <alignment horizontal="right" vertical="center"/>
    </xf>
    <xf numFmtId="10" fontId="9" fillId="34" borderId="10" xfId="0" applyNumberFormat="1" applyFont="1" applyFill="1" applyBorder="1" applyAlignment="1">
      <alignment horizontal="right" vertical="center"/>
    </xf>
    <xf numFmtId="10" fontId="9" fillId="33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10" fontId="15" fillId="34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" fontId="12" fillId="34" borderId="19" xfId="0" applyNumberFormat="1" applyFont="1" applyFill="1" applyBorder="1" applyAlignment="1">
      <alignment horizontal="right" vertical="center" wrapText="1"/>
    </xf>
    <xf numFmtId="4" fontId="13" fillId="33" borderId="19" xfId="0" applyNumberFormat="1" applyFont="1" applyFill="1" applyBorder="1" applyAlignment="1">
      <alignment horizontal="right"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4" fontId="12" fillId="34" borderId="15" xfId="0" applyNumberFormat="1" applyFont="1" applyFill="1" applyBorder="1" applyAlignment="1">
      <alignment horizontal="right" vertical="center" wrapText="1"/>
    </xf>
    <xf numFmtId="4" fontId="13" fillId="33" borderId="12" xfId="0" applyNumberFormat="1" applyFont="1" applyFill="1" applyBorder="1" applyAlignment="1">
      <alignment horizontal="right" vertical="center" wrapText="1"/>
    </xf>
    <xf numFmtId="4" fontId="12" fillId="34" borderId="12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4" fontId="12" fillId="34" borderId="19" xfId="0" applyNumberFormat="1" applyFont="1" applyFill="1" applyBorder="1" applyAlignment="1">
      <alignment vertical="center" wrapText="1"/>
    </xf>
    <xf numFmtId="4" fontId="13" fillId="33" borderId="19" xfId="0" applyNumberFormat="1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vertical="center" wrapText="1"/>
    </xf>
    <xf numFmtId="4" fontId="12" fillId="34" borderId="10" xfId="0" applyNumberFormat="1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4" fontId="12" fillId="34" borderId="0" xfId="0" applyNumberFormat="1" applyFont="1" applyFill="1" applyBorder="1" applyAlignment="1">
      <alignment vertical="center" wrapText="1"/>
    </xf>
    <xf numFmtId="10" fontId="12" fillId="34" borderId="0" xfId="0" applyNumberFormat="1" applyFont="1" applyFill="1" applyBorder="1" applyAlignment="1">
      <alignment vertical="center" wrapText="1"/>
    </xf>
    <xf numFmtId="10" fontId="12" fillId="34" borderId="0" xfId="0" applyNumberFormat="1" applyFont="1" applyFill="1" applyBorder="1" applyAlignment="1">
      <alignment vertical="center"/>
    </xf>
    <xf numFmtId="10" fontId="12" fillId="34" borderId="0" xfId="0" applyNumberFormat="1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vertical="center"/>
    </xf>
    <xf numFmtId="4" fontId="13" fillId="34" borderId="0" xfId="0" applyNumberFormat="1" applyFont="1" applyFill="1" applyBorder="1" applyAlignment="1">
      <alignment vertical="center" wrapText="1"/>
    </xf>
    <xf numFmtId="10" fontId="13" fillId="34" borderId="0" xfId="0" applyNumberFormat="1" applyFont="1" applyFill="1" applyBorder="1" applyAlignment="1">
      <alignment horizontal="right" vertical="center" wrapText="1"/>
    </xf>
    <xf numFmtId="10" fontId="13" fillId="34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10" fontId="9" fillId="33" borderId="1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20" fillId="34" borderId="0" xfId="0" applyFont="1" applyFill="1" applyAlignment="1">
      <alignment vertical="center"/>
    </xf>
    <xf numFmtId="10" fontId="9" fillId="33" borderId="10" xfId="0" applyNumberFormat="1" applyFont="1" applyFill="1" applyBorder="1" applyAlignment="1">
      <alignment horizontal="right" vertical="center" wrapText="1"/>
    </xf>
    <xf numFmtId="10" fontId="9" fillId="34" borderId="0" xfId="0" applyNumberFormat="1" applyFont="1" applyFill="1" applyBorder="1" applyAlignment="1">
      <alignment horizontal="right" vertical="center" wrapText="1"/>
    </xf>
    <xf numFmtId="10" fontId="12" fillId="0" borderId="0" xfId="0" applyNumberFormat="1" applyFont="1" applyAlignment="1">
      <alignment horizontal="right" vertical="center"/>
    </xf>
    <xf numFmtId="4" fontId="12" fillId="0" borderId="0" xfId="0" applyNumberFormat="1" applyFont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34" borderId="0" xfId="0" applyFont="1" applyFill="1" applyAlignment="1">
      <alignment vertical="center"/>
    </xf>
    <xf numFmtId="4" fontId="12" fillId="33" borderId="10" xfId="0" applyNumberFormat="1" applyFont="1" applyFill="1" applyBorder="1" applyAlignment="1">
      <alignment horizontal="right" vertical="center" wrapText="1"/>
    </xf>
    <xf numFmtId="10" fontId="12" fillId="33" borderId="10" xfId="0" applyNumberFormat="1" applyFont="1" applyFill="1" applyBorder="1" applyAlignment="1">
      <alignment horizontal="right" vertical="center" wrapText="1"/>
    </xf>
    <xf numFmtId="4" fontId="12" fillId="34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164" fontId="12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2" fillId="34" borderId="12" xfId="0" applyFont="1" applyFill="1" applyBorder="1" applyAlignment="1">
      <alignment horizontal="right" vertical="center" wrapText="1"/>
    </xf>
    <xf numFmtId="164" fontId="21" fillId="35" borderId="10" xfId="0" applyNumberFormat="1" applyFont="1" applyFill="1" applyBorder="1" applyAlignment="1">
      <alignment horizontal="right" vertical="center" wrapText="1"/>
    </xf>
    <xf numFmtId="164" fontId="21" fillId="35" borderId="20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164" fontId="14" fillId="34" borderId="20" xfId="0" applyNumberFormat="1" applyFont="1" applyFill="1" applyBorder="1" applyAlignment="1">
      <alignment horizontal="right" vertical="center" wrapText="1"/>
    </xf>
    <xf numFmtId="164" fontId="14" fillId="33" borderId="10" xfId="0" applyNumberFormat="1" applyFont="1" applyFill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/>
    </xf>
    <xf numFmtId="10" fontId="14" fillId="0" borderId="10" xfId="0" applyNumberFormat="1" applyFont="1" applyBorder="1" applyAlignment="1">
      <alignment horizontal="right" vertical="center"/>
    </xf>
    <xf numFmtId="164" fontId="14" fillId="33" borderId="10" xfId="0" applyNumberFormat="1" applyFont="1" applyFill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 wrapText="1"/>
    </xf>
    <xf numFmtId="164" fontId="21" fillId="36" borderId="20" xfId="0" applyNumberFormat="1" applyFont="1" applyFill="1" applyBorder="1" applyAlignment="1">
      <alignment horizontal="right" vertical="center" wrapText="1"/>
    </xf>
    <xf numFmtId="164" fontId="21" fillId="36" borderId="10" xfId="0" applyNumberFormat="1" applyFont="1" applyFill="1" applyBorder="1" applyAlignment="1">
      <alignment horizontal="right" vertical="center" wrapText="1"/>
    </xf>
    <xf numFmtId="10" fontId="21" fillId="36" borderId="10" xfId="0" applyNumberFormat="1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vertical="center"/>
    </xf>
    <xf numFmtId="0" fontId="10" fillId="37" borderId="10" xfId="0" applyFont="1" applyFill="1" applyBorder="1" applyAlignment="1">
      <alignment vertical="center" wrapText="1"/>
    </xf>
    <xf numFmtId="164" fontId="21" fillId="37" borderId="20" xfId="0" applyNumberFormat="1" applyFont="1" applyFill="1" applyBorder="1" applyAlignment="1">
      <alignment horizontal="right" vertical="center" wrapText="1"/>
    </xf>
    <xf numFmtId="164" fontId="21" fillId="37" borderId="10" xfId="0" applyNumberFormat="1" applyFont="1" applyFill="1" applyBorder="1" applyAlignment="1">
      <alignment horizontal="right" vertical="center" wrapText="1"/>
    </xf>
    <xf numFmtId="10" fontId="21" fillId="37" borderId="10" xfId="0" applyNumberFormat="1" applyFont="1" applyFill="1" applyBorder="1" applyAlignment="1">
      <alignment horizontal="right" vertical="center"/>
    </xf>
    <xf numFmtId="10" fontId="21" fillId="35" borderId="1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34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10" fontId="21" fillId="33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right" vertical="center"/>
    </xf>
    <xf numFmtId="10" fontId="28" fillId="33" borderId="20" xfId="0" applyNumberFormat="1" applyFont="1" applyFill="1" applyBorder="1" applyAlignment="1">
      <alignment horizontal="right" vertical="center"/>
    </xf>
    <xf numFmtId="10" fontId="28" fillId="33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9" fillId="35" borderId="10" xfId="0" applyFont="1" applyFill="1" applyBorder="1" applyAlignment="1">
      <alignment vertical="center"/>
    </xf>
    <xf numFmtId="0" fontId="28" fillId="35" borderId="1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164" fontId="21" fillId="33" borderId="10" xfId="0" applyNumberFormat="1" applyFont="1" applyFill="1" applyBorder="1" applyAlignment="1">
      <alignment horizontal="right" vertical="center"/>
    </xf>
    <xf numFmtId="10" fontId="14" fillId="0" borderId="10" xfId="0" applyNumberFormat="1" applyFont="1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10" fontId="14" fillId="33" borderId="10" xfId="0" applyNumberFormat="1" applyFont="1" applyFill="1" applyBorder="1" applyAlignment="1">
      <alignment horizontal="right" vertical="center"/>
    </xf>
    <xf numFmtId="164" fontId="12" fillId="34" borderId="10" xfId="42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3" fillId="34" borderId="0" xfId="0" applyNumberFormat="1" applyFont="1" applyFill="1" applyBorder="1" applyAlignment="1">
      <alignment horizontal="left" vertical="center" wrapText="1"/>
    </xf>
    <xf numFmtId="10" fontId="13" fillId="34" borderId="0" xfId="0" applyNumberFormat="1" applyFont="1" applyFill="1" applyBorder="1" applyAlignment="1">
      <alignment horizontal="left" vertical="center" wrapText="1"/>
    </xf>
    <xf numFmtId="10" fontId="13" fillId="34" borderId="0" xfId="0" applyNumberFormat="1" applyFont="1" applyFill="1" applyBorder="1" applyAlignment="1">
      <alignment horizontal="left" vertical="center"/>
    </xf>
    <xf numFmtId="0" fontId="12" fillId="34" borderId="17" xfId="0" applyFont="1" applyFill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vertical="center" wrapText="1"/>
    </xf>
    <xf numFmtId="10" fontId="11" fillId="33" borderId="10" xfId="0" applyNumberFormat="1" applyFont="1" applyFill="1" applyBorder="1" applyAlignment="1">
      <alignment vertical="center" wrapText="1"/>
    </xf>
    <xf numFmtId="10" fontId="11" fillId="33" borderId="10" xfId="0" applyNumberFormat="1" applyFont="1" applyFill="1" applyBorder="1" applyAlignment="1">
      <alignment vertical="center"/>
    </xf>
    <xf numFmtId="164" fontId="11" fillId="33" borderId="10" xfId="0" applyNumberFormat="1" applyFont="1" applyFill="1" applyBorder="1" applyAlignment="1">
      <alignment vertical="center" wrapText="1"/>
    </xf>
    <xf numFmtId="0" fontId="13" fillId="33" borderId="15" xfId="0" applyFont="1" applyFill="1" applyBorder="1" applyAlignment="1">
      <alignment horizontal="center" vertical="center" wrapText="1"/>
    </xf>
    <xf numFmtId="10" fontId="12" fillId="34" borderId="0" xfId="0" applyNumberFormat="1" applyFont="1" applyFill="1" applyBorder="1" applyAlignment="1">
      <alignment horizontal="right" vertical="center" wrapText="1"/>
    </xf>
    <xf numFmtId="4" fontId="14" fillId="34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right" vertical="center"/>
    </xf>
    <xf numFmtId="10" fontId="12" fillId="0" borderId="27" xfId="0" applyNumberFormat="1" applyFont="1" applyBorder="1" applyAlignment="1">
      <alignment vertical="center"/>
    </xf>
    <xf numFmtId="10" fontId="12" fillId="0" borderId="28" xfId="0" applyNumberFormat="1" applyFont="1" applyBorder="1" applyAlignment="1">
      <alignment vertical="center"/>
    </xf>
    <xf numFmtId="10" fontId="12" fillId="34" borderId="28" xfId="0" applyNumberFormat="1" applyFont="1" applyFill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34" borderId="29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2" fillId="33" borderId="22" xfId="0" applyFont="1" applyFill="1" applyBorder="1" applyAlignment="1">
      <alignment horizontal="center" vertical="center" wrapText="1"/>
    </xf>
    <xf numFmtId="4" fontId="12" fillId="34" borderId="20" xfId="0" applyNumberFormat="1" applyFont="1" applyFill="1" applyBorder="1" applyAlignment="1">
      <alignment horizontal="right" vertical="center" wrapText="1"/>
    </xf>
    <xf numFmtId="4" fontId="12" fillId="34" borderId="20" xfId="0" applyNumberFormat="1" applyFont="1" applyFill="1" applyBorder="1" applyAlignment="1">
      <alignment horizontal="right" vertical="center"/>
    </xf>
    <xf numFmtId="4" fontId="14" fillId="34" borderId="20" xfId="0" applyNumberFormat="1" applyFont="1" applyFill="1" applyBorder="1" applyAlignment="1">
      <alignment horizontal="right" vertical="center" wrapText="1"/>
    </xf>
    <xf numFmtId="0" fontId="13" fillId="33" borderId="22" xfId="0" applyFont="1" applyFill="1" applyBorder="1" applyAlignment="1">
      <alignment horizontal="center" vertical="center" wrapText="1"/>
    </xf>
    <xf numFmtId="4" fontId="12" fillId="34" borderId="20" xfId="0" applyNumberFormat="1" applyFont="1" applyFill="1" applyBorder="1" applyAlignment="1">
      <alignment vertical="center" wrapText="1"/>
    </xf>
    <xf numFmtId="4" fontId="12" fillId="34" borderId="20" xfId="0" applyNumberFormat="1" applyFont="1" applyFill="1" applyBorder="1" applyAlignment="1">
      <alignment vertical="center"/>
    </xf>
    <xf numFmtId="4" fontId="13" fillId="33" borderId="20" xfId="0" applyNumberFormat="1" applyFont="1" applyFill="1" applyBorder="1" applyAlignment="1">
      <alignment vertical="center" wrapText="1"/>
    </xf>
    <xf numFmtId="164" fontId="12" fillId="0" borderId="30" xfId="0" applyNumberFormat="1" applyFont="1" applyBorder="1" applyAlignment="1">
      <alignment horizontal="right" vertical="center"/>
    </xf>
    <xf numFmtId="164" fontId="12" fillId="0" borderId="20" xfId="0" applyNumberFormat="1" applyFont="1" applyBorder="1" applyAlignment="1">
      <alignment horizontal="right" vertical="center"/>
    </xf>
    <xf numFmtId="164" fontId="12" fillId="0" borderId="20" xfId="0" applyNumberFormat="1" applyFont="1" applyFill="1" applyBorder="1" applyAlignment="1">
      <alignment horizontal="right" vertical="center"/>
    </xf>
    <xf numFmtId="164" fontId="12" fillId="34" borderId="20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164" fontId="11" fillId="33" borderId="31" xfId="0" applyNumberFormat="1" applyFont="1" applyFill="1" applyBorder="1" applyAlignment="1">
      <alignment horizontal="right" vertical="center"/>
    </xf>
    <xf numFmtId="164" fontId="11" fillId="33" borderId="32" xfId="0" applyNumberFormat="1" applyFont="1" applyFill="1" applyBorder="1" applyAlignment="1">
      <alignment horizontal="right" vertical="center"/>
    </xf>
    <xf numFmtId="10" fontId="11" fillId="33" borderId="33" xfId="0" applyNumberFormat="1" applyFont="1" applyFill="1" applyBorder="1" applyAlignment="1">
      <alignment vertical="center"/>
    </xf>
    <xf numFmtId="164" fontId="11" fillId="33" borderId="20" xfId="0" applyNumberFormat="1" applyFont="1" applyFill="1" applyBorder="1" applyAlignment="1">
      <alignment horizontal="right" vertical="center"/>
    </xf>
    <xf numFmtId="164" fontId="11" fillId="33" borderId="10" xfId="0" applyNumberFormat="1" applyFont="1" applyFill="1" applyBorder="1" applyAlignment="1">
      <alignment horizontal="right" vertical="center"/>
    </xf>
    <xf numFmtId="10" fontId="11" fillId="33" borderId="28" xfId="0" applyNumberFormat="1" applyFont="1" applyFill="1" applyBorder="1" applyAlignment="1">
      <alignment vertical="center"/>
    </xf>
    <xf numFmtId="164" fontId="11" fillId="33" borderId="19" xfId="0" applyNumberFormat="1" applyFont="1" applyFill="1" applyBorder="1" applyAlignment="1">
      <alignment horizontal="right" vertical="center"/>
    </xf>
    <xf numFmtId="164" fontId="11" fillId="33" borderId="12" xfId="0" applyNumberFormat="1" applyFont="1" applyFill="1" applyBorder="1" applyAlignment="1">
      <alignment horizontal="right" vertical="center"/>
    </xf>
    <xf numFmtId="10" fontId="11" fillId="33" borderId="34" xfId="0" applyNumberFormat="1" applyFont="1" applyFill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2" fontId="13" fillId="0" borderId="3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4" fillId="0" borderId="10" xfId="0" applyFont="1" applyBorder="1" applyAlignment="1">
      <alignment horizontal="left"/>
    </xf>
    <xf numFmtId="4" fontId="11" fillId="33" borderId="2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10" fontId="11" fillId="33" borderId="10" xfId="0" applyNumberFormat="1" applyFont="1" applyFill="1" applyBorder="1" applyAlignment="1">
      <alignment horizontal="right" vertical="center" wrapText="1"/>
    </xf>
    <xf numFmtId="10" fontId="11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right" vertical="center"/>
    </xf>
    <xf numFmtId="164" fontId="13" fillId="33" borderId="10" xfId="0" applyNumberFormat="1" applyFont="1" applyFill="1" applyBorder="1" applyAlignment="1">
      <alignment vertical="center" wrapText="1"/>
    </xf>
    <xf numFmtId="4" fontId="11" fillId="33" borderId="2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/>
    </xf>
    <xf numFmtId="4" fontId="12" fillId="34" borderId="15" xfId="0" applyNumberFormat="1" applyFont="1" applyFill="1" applyBorder="1" applyAlignment="1">
      <alignment horizontal="right" vertical="center"/>
    </xf>
    <xf numFmtId="10" fontId="12" fillId="34" borderId="15" xfId="0" applyNumberFormat="1" applyFont="1" applyFill="1" applyBorder="1" applyAlignment="1">
      <alignment horizontal="right" vertical="center" wrapText="1"/>
    </xf>
    <xf numFmtId="10" fontId="12" fillId="34" borderId="15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37" fillId="0" borderId="0" xfId="0" applyFont="1" applyAlignment="1">
      <alignment horizontal="left" vertical="center"/>
    </xf>
    <xf numFmtId="43" fontId="11" fillId="33" borderId="10" xfId="42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3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left" vertical="center" wrapText="1"/>
    </xf>
    <xf numFmtId="43" fontId="11" fillId="34" borderId="0" xfId="42" applyFont="1" applyFill="1" applyBorder="1" applyAlignment="1">
      <alignment horizontal="right" vertical="center" wrapText="1"/>
    </xf>
    <xf numFmtId="4" fontId="11" fillId="34" borderId="0" xfId="0" applyNumberFormat="1" applyFont="1" applyFill="1" applyBorder="1" applyAlignment="1">
      <alignment vertical="center" wrapText="1"/>
    </xf>
    <xf numFmtId="10" fontId="11" fillId="34" borderId="0" xfId="0" applyNumberFormat="1" applyFont="1" applyFill="1" applyBorder="1" applyAlignment="1">
      <alignment vertical="center" wrapText="1"/>
    </xf>
    <xf numFmtId="10" fontId="11" fillId="34" borderId="0" xfId="0" applyNumberFormat="1" applyFont="1" applyFill="1" applyBorder="1" applyAlignment="1">
      <alignment vertical="center"/>
    </xf>
    <xf numFmtId="39" fontId="11" fillId="33" borderId="10" xfId="42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164" fontId="14" fillId="34" borderId="10" xfId="0" applyNumberFormat="1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vertical="center" wrapText="1"/>
    </xf>
    <xf numFmtId="164" fontId="14" fillId="34" borderId="10" xfId="0" applyNumberFormat="1" applyFont="1" applyFill="1" applyBorder="1" applyAlignment="1">
      <alignment horizontal="right" vertical="center" wrapText="1"/>
    </xf>
    <xf numFmtId="164" fontId="11" fillId="33" borderId="10" xfId="42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 vertical="center"/>
    </xf>
    <xf numFmtId="0" fontId="0" fillId="0" borderId="0" xfId="0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64" fontId="13" fillId="33" borderId="10" xfId="0" applyNumberFormat="1" applyFont="1" applyFill="1" applyBorder="1" applyAlignment="1">
      <alignment vertical="center"/>
    </xf>
    <xf numFmtId="164" fontId="14" fillId="0" borderId="10" xfId="0" applyNumberFormat="1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" fontId="12" fillId="34" borderId="38" xfId="0" applyNumberFormat="1" applyFont="1" applyFill="1" applyBorder="1" applyAlignment="1">
      <alignment vertical="center" wrapText="1"/>
    </xf>
    <xf numFmtId="4" fontId="13" fillId="34" borderId="22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164" fontId="13" fillId="33" borderId="12" xfId="0" applyNumberFormat="1" applyFont="1" applyFill="1" applyBorder="1" applyAlignment="1">
      <alignment vertical="center"/>
    </xf>
    <xf numFmtId="0" fontId="21" fillId="35" borderId="17" xfId="0" applyFont="1" applyFill="1" applyBorder="1" applyAlignment="1">
      <alignment vertical="center"/>
    </xf>
    <xf numFmtId="0" fontId="21" fillId="35" borderId="12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164" fontId="14" fillId="0" borderId="0" xfId="0" applyNumberFormat="1" applyFont="1" applyBorder="1" applyAlignment="1">
      <alignment horizontal="right" vertical="center"/>
    </xf>
    <xf numFmtId="164" fontId="21" fillId="35" borderId="12" xfId="0" applyNumberFormat="1" applyFont="1" applyFill="1" applyBorder="1" applyAlignment="1">
      <alignment vertical="center"/>
    </xf>
    <xf numFmtId="164" fontId="14" fillId="0" borderId="16" xfId="0" applyNumberFormat="1" applyFont="1" applyBorder="1" applyAlignment="1">
      <alignment vertical="center"/>
    </xf>
    <xf numFmtId="10" fontId="21" fillId="35" borderId="12" xfId="0" applyNumberFormat="1" applyFont="1" applyFill="1" applyBorder="1" applyAlignment="1">
      <alignment horizontal="right" vertical="center"/>
    </xf>
    <xf numFmtId="10" fontId="14" fillId="34" borderId="0" xfId="0" applyNumberFormat="1" applyFont="1" applyFill="1" applyBorder="1" applyAlignment="1">
      <alignment horizontal="right" vertical="center"/>
    </xf>
    <xf numFmtId="10" fontId="14" fillId="34" borderId="16" xfId="0" applyNumberFormat="1" applyFont="1" applyFill="1" applyBorder="1" applyAlignment="1">
      <alignment horizontal="right" vertical="center"/>
    </xf>
    <xf numFmtId="10" fontId="14" fillId="34" borderId="15" xfId="0" applyNumberFormat="1" applyFont="1" applyFill="1" applyBorder="1" applyAlignment="1">
      <alignment horizontal="right" vertical="center"/>
    </xf>
    <xf numFmtId="164" fontId="21" fillId="35" borderId="11" xfId="0" applyNumberFormat="1" applyFont="1" applyFill="1" applyBorder="1" applyAlignment="1">
      <alignment vertical="center"/>
    </xf>
    <xf numFmtId="10" fontId="21" fillId="35" borderId="17" xfId="0" applyNumberFormat="1" applyFont="1" applyFill="1" applyBorder="1" applyAlignment="1">
      <alignment horizontal="right" vertical="center"/>
    </xf>
    <xf numFmtId="164" fontId="14" fillId="34" borderId="10" xfId="0" applyNumberFormat="1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28" fillId="36" borderId="10" xfId="0" applyFont="1" applyFill="1" applyBorder="1" applyAlignment="1">
      <alignment vertical="center" wrapText="1"/>
    </xf>
    <xf numFmtId="0" fontId="30" fillId="37" borderId="10" xfId="0" applyFont="1" applyFill="1" applyBorder="1" applyAlignment="1">
      <alignment vertical="center" wrapText="1"/>
    </xf>
    <xf numFmtId="0" fontId="21" fillId="38" borderId="32" xfId="0" applyFont="1" applyFill="1" applyBorder="1" applyAlignment="1">
      <alignment horizontal="center" vertical="center"/>
    </xf>
    <xf numFmtId="0" fontId="28" fillId="38" borderId="39" xfId="0" applyFont="1" applyFill="1" applyBorder="1" applyAlignment="1">
      <alignment vertical="center"/>
    </xf>
    <xf numFmtId="164" fontId="21" fillId="38" borderId="32" xfId="0" applyNumberFormat="1" applyFont="1" applyFill="1" applyBorder="1" applyAlignment="1">
      <alignment vertical="center"/>
    </xf>
    <xf numFmtId="10" fontId="21" fillId="38" borderId="3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4" fontId="21" fillId="33" borderId="10" xfId="0" applyNumberFormat="1" applyFont="1" applyFill="1" applyBorder="1" applyAlignment="1">
      <alignment wrapText="1"/>
    </xf>
    <xf numFmtId="4" fontId="13" fillId="33" borderId="10" xfId="0" applyNumberFormat="1" applyFont="1" applyFill="1" applyBorder="1" applyAlignment="1">
      <alignment wrapText="1"/>
    </xf>
    <xf numFmtId="4" fontId="12" fillId="0" borderId="0" xfId="0" applyNumberFormat="1" applyFont="1" applyAlignment="1">
      <alignment vertical="center"/>
    </xf>
    <xf numFmtId="4" fontId="12" fillId="0" borderId="10" xfId="0" applyNumberFormat="1" applyFont="1" applyBorder="1" applyAlignment="1">
      <alignment horizontal="right" vertical="center"/>
    </xf>
    <xf numFmtId="0" fontId="21" fillId="34" borderId="0" xfId="0" applyFont="1" applyFill="1" applyAlignment="1">
      <alignment vertical="center"/>
    </xf>
    <xf numFmtId="0" fontId="13" fillId="0" borderId="10" xfId="0" applyFont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left"/>
    </xf>
    <xf numFmtId="0" fontId="12" fillId="34" borderId="40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/>
    </xf>
    <xf numFmtId="4" fontId="12" fillId="39" borderId="10" xfId="0" applyNumberFormat="1" applyFont="1" applyFill="1" applyBorder="1" applyAlignment="1">
      <alignment horizontal="right" vertical="center"/>
    </xf>
    <xf numFmtId="0" fontId="12" fillId="39" borderId="10" xfId="0" applyFont="1" applyFill="1" applyBorder="1" applyAlignment="1">
      <alignment horizontal="center"/>
    </xf>
    <xf numFmtId="0" fontId="13" fillId="39" borderId="4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center"/>
    </xf>
    <xf numFmtId="0" fontId="14" fillId="33" borderId="41" xfId="0" applyFont="1" applyFill="1" applyBorder="1" applyAlignment="1">
      <alignment/>
    </xf>
    <xf numFmtId="4" fontId="13" fillId="33" borderId="41" xfId="0" applyNumberFormat="1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vertical="center" wrapText="1"/>
    </xf>
    <xf numFmtId="4" fontId="13" fillId="39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2" fillId="0" borderId="18" xfId="0" applyFont="1" applyBorder="1" applyAlignment="1">
      <alignment horizontal="left" vertical="center"/>
    </xf>
    <xf numFmtId="0" fontId="13" fillId="39" borderId="14" xfId="0" applyFont="1" applyFill="1" applyBorder="1" applyAlignment="1">
      <alignment horizontal="left"/>
    </xf>
    <xf numFmtId="39" fontId="13" fillId="33" borderId="10" xfId="42" applyNumberFormat="1" applyFont="1" applyFill="1" applyBorder="1" applyAlignment="1">
      <alignment horizontal="right" vertical="center" wrapText="1"/>
    </xf>
    <xf numFmtId="164" fontId="13" fillId="33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12" fontId="9" fillId="0" borderId="10" xfId="0" applyNumberFormat="1" applyFont="1" applyBorder="1" applyAlignment="1">
      <alignment horizontal="center" vertical="center" wrapText="1"/>
    </xf>
    <xf numFmtId="164" fontId="14" fillId="39" borderId="1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2" fontId="9" fillId="0" borderId="20" xfId="0" applyNumberFormat="1" applyFont="1" applyBorder="1" applyAlignment="1">
      <alignment horizontal="center" vertical="center" wrapText="1"/>
    </xf>
    <xf numFmtId="0" fontId="12" fillId="39" borderId="15" xfId="0" applyFont="1" applyFill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2" fontId="13" fillId="33" borderId="15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vertical="center"/>
    </xf>
    <xf numFmtId="0" fontId="12" fillId="39" borderId="40" xfId="0" applyFont="1" applyFill="1" applyBorder="1" applyAlignment="1">
      <alignment horizontal="left"/>
    </xf>
    <xf numFmtId="0" fontId="12" fillId="39" borderId="12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right" vertical="center"/>
    </xf>
    <xf numFmtId="4" fontId="14" fillId="39" borderId="10" xfId="0" applyNumberFormat="1" applyFont="1" applyFill="1" applyBorder="1" applyAlignment="1">
      <alignment vertical="center"/>
    </xf>
    <xf numFmtId="0" fontId="14" fillId="39" borderId="0" xfId="0" applyFont="1" applyFill="1" applyAlignment="1">
      <alignment horizontal="center"/>
    </xf>
    <xf numFmtId="0" fontId="12" fillId="39" borderId="14" xfId="0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/>
    </xf>
    <xf numFmtId="10" fontId="13" fillId="33" borderId="42" xfId="0" applyNumberFormat="1" applyFont="1" applyFill="1" applyBorder="1" applyAlignment="1">
      <alignment horizontal="right" vertical="center"/>
    </xf>
    <xf numFmtId="10" fontId="13" fillId="33" borderId="41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wrapText="1"/>
    </xf>
    <xf numFmtId="4" fontId="12" fillId="34" borderId="10" xfId="0" applyNumberFormat="1" applyFont="1" applyFill="1" applyBorder="1" applyAlignment="1">
      <alignment horizontal="right" wrapText="1"/>
    </xf>
    <xf numFmtId="4" fontId="12" fillId="34" borderId="10" xfId="0" applyNumberFormat="1" applyFont="1" applyFill="1" applyBorder="1" applyAlignment="1">
      <alignment/>
    </xf>
    <xf numFmtId="10" fontId="15" fillId="34" borderId="10" xfId="0" applyNumberFormat="1" applyFont="1" applyFill="1" applyBorder="1" applyAlignment="1">
      <alignment horizontal="right" vertical="center" wrapText="1"/>
    </xf>
    <xf numFmtId="4" fontId="14" fillId="34" borderId="10" xfId="0" applyNumberFormat="1" applyFont="1" applyFill="1" applyBorder="1" applyAlignment="1">
      <alignment wrapText="1"/>
    </xf>
    <xf numFmtId="0" fontId="12" fillId="34" borderId="0" xfId="0" applyFont="1" applyFill="1" applyBorder="1" applyAlignment="1">
      <alignment horizontal="center"/>
    </xf>
    <xf numFmtId="4" fontId="12" fillId="34" borderId="0" xfId="0" applyNumberFormat="1" applyFont="1" applyFill="1" applyBorder="1" applyAlignment="1">
      <alignment horizontal="right" vertical="center"/>
    </xf>
    <xf numFmtId="10" fontId="13" fillId="39" borderId="10" xfId="0" applyNumberFormat="1" applyFont="1" applyFill="1" applyBorder="1" applyAlignment="1">
      <alignment horizontal="right" vertical="center"/>
    </xf>
    <xf numFmtId="10" fontId="12" fillId="39" borderId="10" xfId="0" applyNumberFormat="1" applyFont="1" applyFill="1" applyBorder="1" applyAlignment="1">
      <alignment horizontal="right" vertical="center"/>
    </xf>
    <xf numFmtId="10" fontId="12" fillId="34" borderId="12" xfId="0" applyNumberFormat="1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164" fontId="21" fillId="34" borderId="0" xfId="0" applyNumberFormat="1" applyFont="1" applyFill="1" applyAlignment="1">
      <alignment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4" fontId="12" fillId="34" borderId="29" xfId="0" applyNumberFormat="1" applyFont="1" applyFill="1" applyBorder="1" applyAlignment="1">
      <alignment vertical="center" wrapText="1"/>
    </xf>
    <xf numFmtId="10" fontId="12" fillId="34" borderId="12" xfId="0" applyNumberFormat="1" applyFont="1" applyFill="1" applyBorder="1" applyAlignment="1">
      <alignment horizontal="right" vertical="center" wrapText="1"/>
    </xf>
    <xf numFmtId="10" fontId="12" fillId="34" borderId="19" xfId="0" applyNumberFormat="1" applyFont="1" applyFill="1" applyBorder="1" applyAlignment="1">
      <alignment horizontal="right" vertical="center"/>
    </xf>
    <xf numFmtId="10" fontId="12" fillId="34" borderId="38" xfId="0" applyNumberFormat="1" applyFont="1" applyFill="1" applyBorder="1" applyAlignment="1">
      <alignment horizontal="right" vertical="center"/>
    </xf>
    <xf numFmtId="4" fontId="12" fillId="34" borderId="16" xfId="0" applyNumberFormat="1" applyFont="1" applyFill="1" applyBorder="1" applyAlignment="1">
      <alignment vertical="center" wrapText="1"/>
    </xf>
    <xf numFmtId="10" fontId="12" fillId="34" borderId="16" xfId="0" applyNumberFormat="1" applyFont="1" applyFill="1" applyBorder="1" applyAlignment="1">
      <alignment horizontal="right" vertical="center" wrapText="1"/>
    </xf>
    <xf numFmtId="4" fontId="13" fillId="34" borderId="15" xfId="0" applyNumberFormat="1" applyFont="1" applyFill="1" applyBorder="1" applyAlignment="1">
      <alignment vertical="center" wrapText="1"/>
    </xf>
    <xf numFmtId="4" fontId="13" fillId="34" borderId="13" xfId="0" applyNumberFormat="1" applyFont="1" applyFill="1" applyBorder="1" applyAlignment="1">
      <alignment vertical="center" wrapText="1"/>
    </xf>
    <xf numFmtId="10" fontId="13" fillId="34" borderId="15" xfId="0" applyNumberFormat="1" applyFont="1" applyFill="1" applyBorder="1" applyAlignment="1">
      <alignment horizontal="right" vertical="center" wrapText="1"/>
    </xf>
    <xf numFmtId="10" fontId="13" fillId="34" borderId="22" xfId="0" applyNumberFormat="1" applyFont="1" applyFill="1" applyBorder="1" applyAlignment="1">
      <alignment horizontal="right" vertical="center"/>
    </xf>
    <xf numFmtId="164" fontId="14" fillId="34" borderId="0" xfId="0" applyNumberFormat="1" applyFont="1" applyFill="1" applyBorder="1" applyAlignment="1">
      <alignment horizontal="right" vertical="center"/>
    </xf>
    <xf numFmtId="164" fontId="13" fillId="33" borderId="10" xfId="42" applyNumberFormat="1" applyFont="1" applyFill="1" applyBorder="1" applyAlignment="1">
      <alignment horizontal="right" vertical="center" wrapText="1"/>
    </xf>
    <xf numFmtId="164" fontId="11" fillId="34" borderId="0" xfId="42" applyNumberFormat="1" applyFont="1" applyFill="1" applyBorder="1" applyAlignment="1">
      <alignment horizontal="right" vertical="center" wrapText="1"/>
    </xf>
    <xf numFmtId="10" fontId="11" fillId="34" borderId="0" xfId="0" applyNumberFormat="1" applyFont="1" applyFill="1" applyBorder="1" applyAlignment="1">
      <alignment horizontal="right" vertical="center"/>
    </xf>
    <xf numFmtId="164" fontId="21" fillId="39" borderId="20" xfId="0" applyNumberFormat="1" applyFont="1" applyFill="1" applyBorder="1" applyAlignment="1">
      <alignment horizontal="right" vertical="center" wrapText="1"/>
    </xf>
    <xf numFmtId="10" fontId="13" fillId="39" borderId="10" xfId="0" applyNumberFormat="1" applyFont="1" applyFill="1" applyBorder="1" applyAlignment="1">
      <alignment horizontal="right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14" fillId="34" borderId="10" xfId="0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right" vertical="center"/>
    </xf>
    <xf numFmtId="0" fontId="11" fillId="40" borderId="32" xfId="0" applyFont="1" applyFill="1" applyBorder="1" applyAlignment="1">
      <alignment horizontal="center" vertical="center"/>
    </xf>
    <xf numFmtId="0" fontId="28" fillId="40" borderId="32" xfId="0" applyFont="1" applyFill="1" applyBorder="1" applyAlignment="1">
      <alignment horizontal="right" vertical="center"/>
    </xf>
    <xf numFmtId="10" fontId="28" fillId="40" borderId="31" xfId="0" applyNumberFormat="1" applyFont="1" applyFill="1" applyBorder="1" applyAlignment="1">
      <alignment horizontal="right" vertical="center"/>
    </xf>
    <xf numFmtId="10" fontId="28" fillId="40" borderId="32" xfId="0" applyNumberFormat="1" applyFont="1" applyFill="1" applyBorder="1" applyAlignment="1">
      <alignment horizontal="right" vertical="center"/>
    </xf>
    <xf numFmtId="164" fontId="14" fillId="34" borderId="0" xfId="0" applyNumberFormat="1" applyFont="1" applyFill="1" applyBorder="1" applyAlignment="1">
      <alignment vertical="center"/>
    </xf>
    <xf numFmtId="164" fontId="14" fillId="34" borderId="16" xfId="0" applyNumberFormat="1" applyFont="1" applyFill="1" applyBorder="1" applyAlignment="1">
      <alignment vertical="center"/>
    </xf>
    <xf numFmtId="164" fontId="14" fillId="34" borderId="15" xfId="0" applyNumberFormat="1" applyFont="1" applyFill="1" applyBorder="1" applyAlignment="1">
      <alignment vertical="center"/>
    </xf>
    <xf numFmtId="164" fontId="12" fillId="34" borderId="10" xfId="0" applyNumberFormat="1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34" borderId="0" xfId="0" applyFont="1" applyFill="1" applyAlignment="1">
      <alignment vertical="center"/>
    </xf>
    <xf numFmtId="0" fontId="28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vertical="center" wrapText="1"/>
    </xf>
    <xf numFmtId="10" fontId="12" fillId="33" borderId="12" xfId="0" applyNumberFormat="1" applyFont="1" applyFill="1" applyBorder="1" applyAlignment="1">
      <alignment horizontal="right" vertical="center"/>
    </xf>
    <xf numFmtId="0" fontId="13" fillId="40" borderId="10" xfId="0" applyFont="1" applyFill="1" applyBorder="1" applyAlignment="1">
      <alignment horizontal="center" vertical="center" wrapText="1"/>
    </xf>
    <xf numFmtId="43" fontId="11" fillId="40" borderId="10" xfId="42" applyFont="1" applyFill="1" applyBorder="1" applyAlignment="1">
      <alignment horizontal="right" vertical="center" wrapText="1"/>
    </xf>
    <xf numFmtId="10" fontId="11" fillId="40" borderId="10" xfId="42" applyNumberFormat="1" applyFont="1" applyFill="1" applyBorder="1" applyAlignment="1">
      <alignment horizontal="right" vertical="center" wrapText="1"/>
    </xf>
    <xf numFmtId="0" fontId="14" fillId="33" borderId="32" xfId="0" applyFont="1" applyFill="1" applyBorder="1" applyAlignment="1">
      <alignment vertical="center"/>
    </xf>
    <xf numFmtId="0" fontId="28" fillId="33" borderId="32" xfId="0" applyFont="1" applyFill="1" applyBorder="1" applyAlignment="1">
      <alignment vertical="center" wrapText="1"/>
    </xf>
    <xf numFmtId="164" fontId="21" fillId="33" borderId="31" xfId="0" applyNumberFormat="1" applyFont="1" applyFill="1" applyBorder="1" applyAlignment="1">
      <alignment horizontal="right" vertical="center" wrapText="1"/>
    </xf>
    <xf numFmtId="164" fontId="21" fillId="33" borderId="32" xfId="0" applyNumberFormat="1" applyFont="1" applyFill="1" applyBorder="1" applyAlignment="1">
      <alignment horizontal="right" vertical="center" wrapText="1"/>
    </xf>
    <xf numFmtId="10" fontId="21" fillId="33" borderId="32" xfId="0" applyNumberFormat="1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10" fontId="11" fillId="40" borderId="10" xfId="0" applyNumberFormat="1" applyFont="1" applyFill="1" applyBorder="1" applyAlignment="1">
      <alignment horizontal="right" vertical="center" wrapText="1"/>
    </xf>
    <xf numFmtId="10" fontId="11" fillId="40" borderId="10" xfId="0" applyNumberFormat="1" applyFont="1" applyFill="1" applyBorder="1" applyAlignment="1">
      <alignment horizontal="right" vertical="center"/>
    </xf>
    <xf numFmtId="0" fontId="14" fillId="39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/>
    </xf>
    <xf numFmtId="49" fontId="0" fillId="0" borderId="0" xfId="0" applyNumberFormat="1" applyAlignment="1">
      <alignment/>
    </xf>
    <xf numFmtId="0" fontId="39" fillId="0" borderId="0" xfId="0" applyFont="1" applyAlignment="1">
      <alignment vertical="center"/>
    </xf>
    <xf numFmtId="49" fontId="39" fillId="0" borderId="0" xfId="0" applyNumberFormat="1" applyFont="1" applyAlignment="1">
      <alignment horizontal="right" vertical="center"/>
    </xf>
    <xf numFmtId="0" fontId="29" fillId="33" borderId="0" xfId="0" applyFont="1" applyFill="1" applyAlignment="1">
      <alignment vertical="center"/>
    </xf>
    <xf numFmtId="0" fontId="29" fillId="0" borderId="0" xfId="0" applyFont="1" applyAlignment="1">
      <alignment/>
    </xf>
    <xf numFmtId="2" fontId="9" fillId="0" borderId="12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5" fillId="34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10" fontId="14" fillId="0" borderId="0" xfId="0" applyNumberFormat="1" applyFont="1" applyAlignment="1">
      <alignment vertical="center"/>
    </xf>
    <xf numFmtId="0" fontId="28" fillId="34" borderId="0" xfId="0" applyFont="1" applyFill="1" applyBorder="1" applyAlignment="1">
      <alignment vertical="center" wrapText="1"/>
    </xf>
    <xf numFmtId="164" fontId="21" fillId="34" borderId="0" xfId="0" applyNumberFormat="1" applyFont="1" applyFill="1" applyBorder="1" applyAlignment="1">
      <alignment horizontal="right" vertical="center" wrapText="1"/>
    </xf>
    <xf numFmtId="10" fontId="21" fillId="34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34" borderId="0" xfId="0" applyFont="1" applyFill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left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1" fillId="33" borderId="43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 vertical="center"/>
    </xf>
    <xf numFmtId="0" fontId="36" fillId="33" borderId="44" xfId="0" applyFont="1" applyFill="1" applyBorder="1" applyAlignment="1">
      <alignment horizontal="left" vertical="center"/>
    </xf>
    <xf numFmtId="0" fontId="36" fillId="33" borderId="32" xfId="0" applyFont="1" applyFill="1" applyBorder="1" applyAlignment="1">
      <alignment horizontal="left" vertical="center"/>
    </xf>
    <xf numFmtId="0" fontId="36" fillId="33" borderId="33" xfId="0" applyFont="1" applyFill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8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left" vertical="center"/>
    </xf>
    <xf numFmtId="0" fontId="12" fillId="33" borderId="38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 wrapText="1"/>
    </xf>
    <xf numFmtId="0" fontId="12" fillId="34" borderId="43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12" fillId="34" borderId="28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21" fillId="0" borderId="0" xfId="0" applyFont="1" applyBorder="1" applyAlignment="1">
      <alignment horizontal="right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20" xfId="0" applyNumberFormat="1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39" borderId="10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2" fillId="34" borderId="14" xfId="0" applyFont="1" applyFill="1" applyBorder="1" applyAlignment="1">
      <alignment horizontal="left"/>
    </xf>
    <xf numFmtId="0" fontId="12" fillId="34" borderId="40" xfId="0" applyFont="1" applyFill="1" applyBorder="1" applyAlignment="1">
      <alignment horizontal="left"/>
    </xf>
    <xf numFmtId="0" fontId="12" fillId="39" borderId="14" xfId="0" applyFont="1" applyFill="1" applyBorder="1" applyAlignment="1">
      <alignment horizontal="left"/>
    </xf>
    <xf numFmtId="0" fontId="12" fillId="39" borderId="40" xfId="0" applyFont="1" applyFill="1" applyBorder="1" applyAlignment="1">
      <alignment horizontal="left"/>
    </xf>
    <xf numFmtId="0" fontId="12" fillId="39" borderId="20" xfId="0" applyFont="1" applyFill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34" borderId="40" xfId="0" applyFont="1" applyFill="1" applyBorder="1" applyAlignment="1">
      <alignment horizontal="left" vertical="center"/>
    </xf>
    <xf numFmtId="0" fontId="28" fillId="33" borderId="14" xfId="0" applyFont="1" applyFill="1" applyBorder="1" applyAlignment="1">
      <alignment horizontal="left" vertical="center"/>
    </xf>
    <xf numFmtId="0" fontId="28" fillId="33" borderId="2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" fontId="12" fillId="34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4" fontId="11" fillId="34" borderId="0" xfId="0" applyNumberFormat="1" applyFont="1" applyFill="1" applyBorder="1" applyAlignment="1">
      <alignment horizontal="left" vertical="center" wrapText="1"/>
    </xf>
    <xf numFmtId="4" fontId="12" fillId="34" borderId="2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7" fillId="34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3" fillId="33" borderId="40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40" borderId="13" xfId="0" applyFont="1" applyFill="1" applyBorder="1" applyAlignment="1">
      <alignment horizontal="left" vertical="center" wrapText="1"/>
    </xf>
    <xf numFmtId="0" fontId="11" fillId="40" borderId="22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5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/>
    </xf>
    <xf numFmtId="0" fontId="11" fillId="40" borderId="39" xfId="0" applyFont="1" applyFill="1" applyBorder="1" applyAlignment="1">
      <alignment horizontal="left" vertical="center"/>
    </xf>
    <xf numFmtId="0" fontId="11" fillId="40" borderId="31" xfId="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39" borderId="11" xfId="0" applyFont="1" applyFill="1" applyBorder="1" applyAlignment="1">
      <alignment horizontal="left" vertical="center"/>
    </xf>
    <xf numFmtId="0" fontId="12" fillId="39" borderId="17" xfId="0" applyFont="1" applyFill="1" applyBorder="1" applyAlignment="1">
      <alignment horizontal="left" vertical="center"/>
    </xf>
    <xf numFmtId="0" fontId="12" fillId="39" borderId="19" xfId="0" applyFont="1" applyFill="1" applyBorder="1" applyAlignment="1">
      <alignment horizontal="left" vertical="center"/>
    </xf>
    <xf numFmtId="0" fontId="12" fillId="39" borderId="14" xfId="0" applyFont="1" applyFill="1" applyBorder="1" applyAlignment="1">
      <alignment horizontal="left" vertical="center"/>
    </xf>
    <xf numFmtId="0" fontId="12" fillId="39" borderId="40" xfId="0" applyFont="1" applyFill="1" applyBorder="1" applyAlignment="1">
      <alignment horizontal="left" vertical="center"/>
    </xf>
    <xf numFmtId="0" fontId="12" fillId="39" borderId="20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4" fontId="12" fillId="34" borderId="0" xfId="0" applyNumberFormat="1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1" fillId="39" borderId="14" xfId="0" applyFont="1" applyFill="1" applyBorder="1" applyAlignment="1">
      <alignment horizontal="left" vertical="center" wrapText="1"/>
    </xf>
    <xf numFmtId="0" fontId="11" fillId="39" borderId="2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12" fillId="34" borderId="14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/>
    </xf>
    <xf numFmtId="0" fontId="12" fillId="0" borderId="11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left"/>
    </xf>
    <xf numFmtId="0" fontId="13" fillId="39" borderId="14" xfId="0" applyFont="1" applyFill="1" applyBorder="1" applyAlignment="1">
      <alignment horizontal="left"/>
    </xf>
    <xf numFmtId="0" fontId="13" fillId="39" borderId="40" xfId="0" applyFont="1" applyFill="1" applyBorder="1" applyAlignment="1">
      <alignment horizontal="left"/>
    </xf>
    <xf numFmtId="0" fontId="21" fillId="39" borderId="14" xfId="0" applyFont="1" applyFill="1" applyBorder="1" applyAlignment="1">
      <alignment horizontal="left" vertical="center" wrapText="1"/>
    </xf>
    <xf numFmtId="0" fontId="21" fillId="39" borderId="2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13" fillId="33" borderId="42" xfId="0" applyFont="1" applyFill="1" applyBorder="1" applyAlignment="1">
      <alignment horizontal="left"/>
    </xf>
    <xf numFmtId="0" fontId="13" fillId="33" borderId="4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535</xdr:row>
      <xdr:rowOff>85725</xdr:rowOff>
    </xdr:from>
    <xdr:ext cx="200025" cy="238125"/>
    <xdr:sp>
      <xdr:nvSpPr>
        <xdr:cNvPr id="1" name="TextBox 1"/>
        <xdr:cNvSpPr txBox="1">
          <a:spLocks noChangeArrowheads="1"/>
        </xdr:cNvSpPr>
      </xdr:nvSpPr>
      <xdr:spPr>
        <a:xfrm>
          <a:off x="10334625" y="1373790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</xdr:colOff>
      <xdr:row>523</xdr:row>
      <xdr:rowOff>9525</xdr:rowOff>
    </xdr:from>
    <xdr:ext cx="200025" cy="171450"/>
    <xdr:sp>
      <xdr:nvSpPr>
        <xdr:cNvPr id="2" name="TextBox 2"/>
        <xdr:cNvSpPr txBox="1">
          <a:spLocks noChangeArrowheads="1"/>
        </xdr:cNvSpPr>
      </xdr:nvSpPr>
      <xdr:spPr>
        <a:xfrm>
          <a:off x="9391650" y="1344453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</xdr:colOff>
      <xdr:row>524</xdr:row>
      <xdr:rowOff>0</xdr:rowOff>
    </xdr:from>
    <xdr:ext cx="200025" cy="171450"/>
    <xdr:sp>
      <xdr:nvSpPr>
        <xdr:cNvPr id="3" name="Text Box 3"/>
        <xdr:cNvSpPr txBox="1">
          <a:spLocks noChangeArrowheads="1"/>
        </xdr:cNvSpPr>
      </xdr:nvSpPr>
      <xdr:spPr>
        <a:xfrm>
          <a:off x="9391650" y="1346739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3</xdr:row>
      <xdr:rowOff>104775</xdr:rowOff>
    </xdr:from>
    <xdr:to>
      <xdr:col>0</xdr:col>
      <xdr:colOff>942975</xdr:colOff>
      <xdr:row>8</xdr:row>
      <xdr:rowOff>28575</xdr:rowOff>
    </xdr:to>
    <xdr:pic>
      <xdr:nvPicPr>
        <xdr:cNvPr id="4" name="Picture 4" descr="85px-Coat_of_arms_of_Kosovo_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0"/>
          <a:ext cx="800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2</xdr:row>
      <xdr:rowOff>95250</xdr:rowOff>
    </xdr:from>
    <xdr:to>
      <xdr:col>8</xdr:col>
      <xdr:colOff>838200</xdr:colOff>
      <xdr:row>7</xdr:row>
      <xdr:rowOff>295275</xdr:rowOff>
    </xdr:to>
    <xdr:pic>
      <xdr:nvPicPr>
        <xdr:cNvPr id="5" name="Picture 5" descr="ambl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563547" flipV="1">
          <a:off x="10582275" y="476250"/>
          <a:ext cx="571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18</xdr:row>
      <xdr:rowOff>85725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9253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1000125</xdr:colOff>
      <xdr:row>10</xdr:row>
      <xdr:rowOff>28575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3157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634</xdr:row>
      <xdr:rowOff>85725</xdr:rowOff>
    </xdr:from>
    <xdr:ext cx="200025" cy="247650"/>
    <xdr:sp>
      <xdr:nvSpPr>
        <xdr:cNvPr id="1" name="TextBox 1"/>
        <xdr:cNvSpPr txBox="1">
          <a:spLocks noChangeArrowheads="1"/>
        </xdr:cNvSpPr>
      </xdr:nvSpPr>
      <xdr:spPr>
        <a:xfrm>
          <a:off x="10506075" y="1658397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</xdr:colOff>
      <xdr:row>618</xdr:row>
      <xdr:rowOff>9525</xdr:rowOff>
    </xdr:from>
    <xdr:ext cx="200025" cy="228600"/>
    <xdr:sp>
      <xdr:nvSpPr>
        <xdr:cNvPr id="2" name="TextBox 2"/>
        <xdr:cNvSpPr txBox="1">
          <a:spLocks noChangeArrowheads="1"/>
        </xdr:cNvSpPr>
      </xdr:nvSpPr>
      <xdr:spPr>
        <a:xfrm>
          <a:off x="9582150" y="1619440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</xdr:colOff>
      <xdr:row>619</xdr:row>
      <xdr:rowOff>9525</xdr:rowOff>
    </xdr:from>
    <xdr:ext cx="200025" cy="228600"/>
    <xdr:sp>
      <xdr:nvSpPr>
        <xdr:cNvPr id="3" name="Text Box 3"/>
        <xdr:cNvSpPr txBox="1">
          <a:spLocks noChangeArrowheads="1"/>
        </xdr:cNvSpPr>
      </xdr:nvSpPr>
      <xdr:spPr>
        <a:xfrm>
          <a:off x="9582150" y="1621821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1</xdr:row>
      <xdr:rowOff>180975</xdr:rowOff>
    </xdr:from>
    <xdr:to>
      <xdr:col>1</xdr:col>
      <xdr:colOff>447675</xdr:colOff>
      <xdr:row>8</xdr:row>
      <xdr:rowOff>28575</xdr:rowOff>
    </xdr:to>
    <xdr:pic>
      <xdr:nvPicPr>
        <xdr:cNvPr id="4" name="Picture 5" descr="85px-Coat_of_arms_of_Kosovo_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71475"/>
          <a:ext cx="1143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1</xdr:row>
      <xdr:rowOff>180975</xdr:rowOff>
    </xdr:from>
    <xdr:to>
      <xdr:col>8</xdr:col>
      <xdr:colOff>742950</xdr:colOff>
      <xdr:row>8</xdr:row>
      <xdr:rowOff>19050</xdr:rowOff>
    </xdr:to>
    <xdr:pic>
      <xdr:nvPicPr>
        <xdr:cNvPr id="5" name="Picture 4" descr="ambl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563547" flipV="1">
          <a:off x="10125075" y="371475"/>
          <a:ext cx="1104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255</xdr:col>
      <xdr:colOff>600075</xdr:colOff>
      <xdr:row>3214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47105875"/>
          <a:ext cx="162972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523875</xdr:colOff>
      <xdr:row>3214</xdr:row>
      <xdr:rowOff>0</xdr:rowOff>
    </xdr:from>
    <xdr:to>
      <xdr:col>22</xdr:col>
      <xdr:colOff>285750</xdr:colOff>
      <xdr:row>3214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20650" y="847105875"/>
          <a:ext cx="780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1087</xdr:row>
      <xdr:rowOff>0</xdr:rowOff>
    </xdr:from>
    <xdr:to>
      <xdr:col>4</xdr:col>
      <xdr:colOff>1047750</xdr:colOff>
      <xdr:row>1087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58166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1185</xdr:row>
      <xdr:rowOff>0</xdr:rowOff>
    </xdr:from>
    <xdr:to>
      <xdr:col>4</xdr:col>
      <xdr:colOff>1047750</xdr:colOff>
      <xdr:row>1185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1185802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1290</xdr:row>
      <xdr:rowOff>0</xdr:rowOff>
    </xdr:from>
    <xdr:to>
      <xdr:col>4</xdr:col>
      <xdr:colOff>1047750</xdr:colOff>
      <xdr:row>1290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3970912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1343</xdr:row>
      <xdr:rowOff>0</xdr:rowOff>
    </xdr:from>
    <xdr:to>
      <xdr:col>4</xdr:col>
      <xdr:colOff>1047750</xdr:colOff>
      <xdr:row>1343</xdr:row>
      <xdr:rowOff>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541299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1389</xdr:row>
      <xdr:rowOff>0</xdr:rowOff>
    </xdr:from>
    <xdr:to>
      <xdr:col>4</xdr:col>
      <xdr:colOff>1047750</xdr:colOff>
      <xdr:row>1389</xdr:row>
      <xdr:rowOff>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667791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1476</xdr:row>
      <xdr:rowOff>0</xdr:rowOff>
    </xdr:from>
    <xdr:to>
      <xdr:col>4</xdr:col>
      <xdr:colOff>1047750</xdr:colOff>
      <xdr:row>1476</xdr:row>
      <xdr:rowOff>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969632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1608</xdr:row>
      <xdr:rowOff>0</xdr:rowOff>
    </xdr:from>
    <xdr:to>
      <xdr:col>4</xdr:col>
      <xdr:colOff>1047750</xdr:colOff>
      <xdr:row>1608</xdr:row>
      <xdr:rowOff>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2448162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1677</xdr:row>
      <xdr:rowOff>0</xdr:rowOff>
    </xdr:from>
    <xdr:to>
      <xdr:col>4</xdr:col>
      <xdr:colOff>1047750</xdr:colOff>
      <xdr:row>1677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4276962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1734</xdr:row>
      <xdr:rowOff>0</xdr:rowOff>
    </xdr:from>
    <xdr:to>
      <xdr:col>4</xdr:col>
      <xdr:colOff>1047750</xdr:colOff>
      <xdr:row>1734</xdr:row>
      <xdr:rowOff>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8019150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1539</xdr:row>
      <xdr:rowOff>0</xdr:rowOff>
    </xdr:from>
    <xdr:to>
      <xdr:col>4</xdr:col>
      <xdr:colOff>1047750</xdr:colOff>
      <xdr:row>1539</xdr:row>
      <xdr:rowOff>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6565100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1649</xdr:row>
      <xdr:rowOff>0</xdr:rowOff>
    </xdr:from>
    <xdr:to>
      <xdr:col>4</xdr:col>
      <xdr:colOff>1047750</xdr:colOff>
      <xdr:row>1649</xdr:row>
      <xdr:rowOff>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353972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1704</xdr:row>
      <xdr:rowOff>0</xdr:rowOff>
    </xdr:from>
    <xdr:to>
      <xdr:col>4</xdr:col>
      <xdr:colOff>1047750</xdr:colOff>
      <xdr:row>1704</xdr:row>
      <xdr:rowOff>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49961000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1781</xdr:row>
      <xdr:rowOff>0</xdr:rowOff>
    </xdr:from>
    <xdr:to>
      <xdr:col>4</xdr:col>
      <xdr:colOff>1047750</xdr:colOff>
      <xdr:row>1781</xdr:row>
      <xdr:rowOff>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0439750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1781</xdr:row>
      <xdr:rowOff>0</xdr:rowOff>
    </xdr:from>
    <xdr:to>
      <xdr:col>4</xdr:col>
      <xdr:colOff>1047750</xdr:colOff>
      <xdr:row>1781</xdr:row>
      <xdr:rowOff>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0439750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1789</xdr:row>
      <xdr:rowOff>0</xdr:rowOff>
    </xdr:from>
    <xdr:to>
      <xdr:col>4</xdr:col>
      <xdr:colOff>1085850</xdr:colOff>
      <xdr:row>1789</xdr:row>
      <xdr:rowOff>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72497150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1915</xdr:row>
      <xdr:rowOff>0</xdr:rowOff>
    </xdr:from>
    <xdr:to>
      <xdr:col>4</xdr:col>
      <xdr:colOff>1047750</xdr:colOff>
      <xdr:row>1915</xdr:row>
      <xdr:rowOff>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0552032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3214</xdr:row>
      <xdr:rowOff>0</xdr:rowOff>
    </xdr:from>
    <xdr:to>
      <xdr:col>4</xdr:col>
      <xdr:colOff>1047750</xdr:colOff>
      <xdr:row>3214</xdr:row>
      <xdr:rowOff>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71058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2036</xdr:row>
      <xdr:rowOff>0</xdr:rowOff>
    </xdr:from>
    <xdr:to>
      <xdr:col>4</xdr:col>
      <xdr:colOff>1047750</xdr:colOff>
      <xdr:row>2036</xdr:row>
      <xdr:rowOff>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375052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2146</xdr:row>
      <xdr:rowOff>0</xdr:rowOff>
    </xdr:from>
    <xdr:to>
      <xdr:col>4</xdr:col>
      <xdr:colOff>1047750</xdr:colOff>
      <xdr:row>2146</xdr:row>
      <xdr:rowOff>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66413650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2215</xdr:row>
      <xdr:rowOff>0</xdr:rowOff>
    </xdr:from>
    <xdr:to>
      <xdr:col>4</xdr:col>
      <xdr:colOff>1047750</xdr:colOff>
      <xdr:row>2215</xdr:row>
      <xdr:rowOff>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84396850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2259</xdr:row>
      <xdr:rowOff>0</xdr:rowOff>
    </xdr:from>
    <xdr:to>
      <xdr:col>4</xdr:col>
      <xdr:colOff>1047750</xdr:colOff>
      <xdr:row>2259</xdr:row>
      <xdr:rowOff>0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964459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2331</xdr:row>
      <xdr:rowOff>0</xdr:rowOff>
    </xdr:from>
    <xdr:to>
      <xdr:col>4</xdr:col>
      <xdr:colOff>1047750</xdr:colOff>
      <xdr:row>2331</xdr:row>
      <xdr:rowOff>0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155721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2381</xdr:row>
      <xdr:rowOff>0</xdr:rowOff>
    </xdr:from>
    <xdr:to>
      <xdr:col>4</xdr:col>
      <xdr:colOff>1047750</xdr:colOff>
      <xdr:row>2381</xdr:row>
      <xdr:rowOff>0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2915482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2458</xdr:row>
      <xdr:rowOff>0</xdr:rowOff>
    </xdr:from>
    <xdr:to>
      <xdr:col>4</xdr:col>
      <xdr:colOff>1047750</xdr:colOff>
      <xdr:row>2458</xdr:row>
      <xdr:rowOff>0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4957642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2505</xdr:row>
      <xdr:rowOff>0</xdr:rowOff>
    </xdr:from>
    <xdr:to>
      <xdr:col>4</xdr:col>
      <xdr:colOff>1047750</xdr:colOff>
      <xdr:row>2505</xdr:row>
      <xdr:rowOff>0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62082750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2581</xdr:row>
      <xdr:rowOff>0</xdr:rowOff>
    </xdr:from>
    <xdr:to>
      <xdr:col>4</xdr:col>
      <xdr:colOff>1047750</xdr:colOff>
      <xdr:row>2581</xdr:row>
      <xdr:rowOff>0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822471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2638</xdr:row>
      <xdr:rowOff>0</xdr:rowOff>
    </xdr:from>
    <xdr:to>
      <xdr:col>4</xdr:col>
      <xdr:colOff>1047750</xdr:colOff>
      <xdr:row>2638</xdr:row>
      <xdr:rowOff>0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974871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2699</xdr:row>
      <xdr:rowOff>0</xdr:rowOff>
    </xdr:from>
    <xdr:to>
      <xdr:col>4</xdr:col>
      <xdr:colOff>1047750</xdr:colOff>
      <xdr:row>2699</xdr:row>
      <xdr:rowOff>0</xdr:rowOff>
    </xdr:to>
    <xdr:pic>
      <xdr:nvPicPr>
        <xdr:cNvPr id="50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1404162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2259</xdr:row>
      <xdr:rowOff>0</xdr:rowOff>
    </xdr:from>
    <xdr:to>
      <xdr:col>4</xdr:col>
      <xdr:colOff>1047750</xdr:colOff>
      <xdr:row>2259</xdr:row>
      <xdr:rowOff>0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96445975"/>
          <a:ext cx="720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4"/>
  <sheetViews>
    <sheetView view="pageBreakPreview" zoomScale="75" zoomScaleNormal="75" zoomScaleSheetLayoutView="75" zoomScalePageLayoutView="0" workbookViewId="0" topLeftCell="A1">
      <selection activeCell="C26" sqref="C26"/>
    </sheetView>
  </sheetViews>
  <sheetFormatPr defaultColWidth="9.140625" defaultRowHeight="12.75"/>
  <cols>
    <col min="1" max="1" width="16.57421875" style="0" customWidth="1"/>
    <col min="2" max="2" width="41.57421875" style="0" customWidth="1"/>
    <col min="3" max="3" width="14.7109375" style="0" customWidth="1"/>
    <col min="4" max="4" width="17.57421875" style="0" customWidth="1"/>
    <col min="5" max="5" width="19.28125" style="0" customWidth="1"/>
    <col min="6" max="6" width="17.140625" style="0" customWidth="1"/>
    <col min="7" max="7" width="13.7109375" style="0" customWidth="1"/>
    <col min="8" max="8" width="14.140625" style="0" customWidth="1"/>
    <col min="9" max="9" width="15.140625" style="0" customWidth="1"/>
  </cols>
  <sheetData>
    <row r="1" spans="1:9" ht="15">
      <c r="A1" s="126"/>
      <c r="B1" s="127"/>
      <c r="C1" s="127"/>
      <c r="D1" s="127"/>
      <c r="E1" s="127"/>
      <c r="F1" s="127"/>
      <c r="G1" s="127"/>
      <c r="H1" s="127"/>
      <c r="I1" s="127"/>
    </row>
    <row r="2" spans="1:9" ht="15">
      <c r="A2" s="126"/>
      <c r="B2" s="127"/>
      <c r="C2" s="127"/>
      <c r="D2" s="127"/>
      <c r="E2" s="127"/>
      <c r="F2" s="127"/>
      <c r="G2" s="127"/>
      <c r="H2" s="127"/>
      <c r="I2" s="127"/>
    </row>
    <row r="3" spans="1:9" ht="14.25">
      <c r="A3" s="523" t="s">
        <v>741</v>
      </c>
      <c r="B3" s="124"/>
      <c r="C3" s="128"/>
      <c r="D3" s="128"/>
      <c r="E3" s="128"/>
      <c r="F3" s="128"/>
      <c r="G3" s="128"/>
      <c r="H3" s="525"/>
      <c r="I3" s="128"/>
    </row>
    <row r="4" spans="1:9" ht="20.25" customHeight="1">
      <c r="A4" s="523"/>
      <c r="B4" s="521" t="s">
        <v>742</v>
      </c>
      <c r="C4" s="521"/>
      <c r="D4" s="521"/>
      <c r="E4" s="521"/>
      <c r="F4" s="521"/>
      <c r="G4" s="521"/>
      <c r="H4" s="525"/>
      <c r="I4" s="128"/>
    </row>
    <row r="5" spans="1:9" ht="20.25" customHeight="1">
      <c r="A5" s="523"/>
      <c r="B5" s="521" t="s">
        <v>743</v>
      </c>
      <c r="C5" s="521"/>
      <c r="D5" s="521"/>
      <c r="E5" s="521"/>
      <c r="F5" s="521"/>
      <c r="G5" s="521"/>
      <c r="H5" s="525"/>
      <c r="I5" s="128"/>
    </row>
    <row r="6" spans="1:9" ht="20.25" customHeight="1">
      <c r="A6" s="523"/>
      <c r="B6" s="521" t="s">
        <v>744</v>
      </c>
      <c r="C6" s="521"/>
      <c r="D6" s="521"/>
      <c r="E6" s="521"/>
      <c r="F6" s="521"/>
      <c r="G6" s="521"/>
      <c r="H6" s="525"/>
      <c r="I6" s="128"/>
    </row>
    <row r="7" spans="1:9" ht="14.25">
      <c r="A7" s="523"/>
      <c r="B7" s="125"/>
      <c r="C7" s="128"/>
      <c r="D7" s="128"/>
      <c r="E7" s="128"/>
      <c r="F7" s="128"/>
      <c r="G7" s="128"/>
      <c r="H7" s="525"/>
      <c r="I7" s="128"/>
    </row>
    <row r="8" spans="1:9" ht="26.25" customHeight="1">
      <c r="A8" s="523"/>
      <c r="B8" s="522" t="s">
        <v>745</v>
      </c>
      <c r="C8" s="522"/>
      <c r="D8" s="522"/>
      <c r="E8" s="522"/>
      <c r="F8" s="522"/>
      <c r="G8" s="522"/>
      <c r="H8" s="525"/>
      <c r="I8" s="128"/>
    </row>
    <row r="9" spans="1:9" ht="15">
      <c r="A9" s="523"/>
      <c r="B9" s="129"/>
      <c r="C9" s="128"/>
      <c r="D9" s="128"/>
      <c r="E9" s="128"/>
      <c r="F9" s="128"/>
      <c r="G9" s="128"/>
      <c r="H9" s="525"/>
      <c r="I9" s="128"/>
    </row>
    <row r="10" spans="1:9" ht="15" thickBot="1">
      <c r="A10" s="524"/>
      <c r="B10" s="130"/>
      <c r="C10" s="131"/>
      <c r="D10" s="131"/>
      <c r="E10" s="131"/>
      <c r="F10" s="131"/>
      <c r="G10" s="131"/>
      <c r="H10" s="526"/>
      <c r="I10" s="132"/>
    </row>
    <row r="11" spans="1:9" ht="18" customHeight="1">
      <c r="A11" s="118" t="s">
        <v>746</v>
      </c>
      <c r="B11" s="119"/>
      <c r="C11" s="119"/>
      <c r="D11" s="119"/>
      <c r="E11" s="119"/>
      <c r="F11" s="119"/>
      <c r="G11" s="119"/>
      <c r="H11" s="119"/>
      <c r="I11" s="127"/>
    </row>
    <row r="12" spans="1:9" ht="18" customHeight="1">
      <c r="A12" s="118" t="s">
        <v>549</v>
      </c>
      <c r="B12" s="119"/>
      <c r="C12" s="119"/>
      <c r="D12" s="119"/>
      <c r="E12" s="119"/>
      <c r="F12" s="119"/>
      <c r="G12" s="119"/>
      <c r="H12" s="119"/>
      <c r="I12" s="127"/>
    </row>
    <row r="13" spans="1:9" ht="18" customHeight="1">
      <c r="A13" s="118"/>
      <c r="B13" s="119"/>
      <c r="C13" s="119"/>
      <c r="D13" s="119"/>
      <c r="E13" s="119"/>
      <c r="F13" s="119"/>
      <c r="G13" s="119"/>
      <c r="H13" s="119"/>
      <c r="I13" s="127"/>
    </row>
    <row r="14" ht="18.75" customHeight="1">
      <c r="I14" s="127"/>
    </row>
    <row r="15" spans="1:9" ht="18" customHeight="1">
      <c r="A15" s="118"/>
      <c r="B15" s="119"/>
      <c r="C15" s="119"/>
      <c r="D15" s="119"/>
      <c r="E15" s="119"/>
      <c r="F15" s="119"/>
      <c r="G15" s="119"/>
      <c r="H15" s="119"/>
      <c r="I15" s="127"/>
    </row>
    <row r="16" spans="1:9" ht="24.75" customHeight="1">
      <c r="A16" s="519" t="s">
        <v>140</v>
      </c>
      <c r="B16" s="519"/>
      <c r="C16" s="519"/>
      <c r="D16" s="519"/>
      <c r="E16" s="519"/>
      <c r="F16" s="519"/>
      <c r="G16" s="519"/>
      <c r="H16" s="519"/>
      <c r="I16" s="519"/>
    </row>
    <row r="17" spans="1:9" ht="18" customHeight="1">
      <c r="A17" s="127"/>
      <c r="B17" s="127"/>
      <c r="C17" s="127"/>
      <c r="D17" s="127"/>
      <c r="E17" s="127"/>
      <c r="F17" s="127"/>
      <c r="G17" s="127"/>
      <c r="H17" s="127"/>
      <c r="I17" s="127"/>
    </row>
    <row r="18" spans="1:9" ht="18" customHeight="1">
      <c r="A18" s="118"/>
      <c r="B18" s="119"/>
      <c r="C18" s="119"/>
      <c r="D18" s="119"/>
      <c r="E18" s="119"/>
      <c r="F18" s="119"/>
      <c r="G18" s="119"/>
      <c r="H18" s="119"/>
      <c r="I18" s="127"/>
    </row>
    <row r="19" spans="1:9" ht="18" customHeight="1">
      <c r="A19" s="118"/>
      <c r="B19" s="119"/>
      <c r="C19" s="119"/>
      <c r="D19" s="119"/>
      <c r="E19" s="119"/>
      <c r="F19" s="119"/>
      <c r="G19" s="119"/>
      <c r="H19" s="119"/>
      <c r="I19" s="127"/>
    </row>
    <row r="20" spans="1:9" ht="18" customHeight="1">
      <c r="A20" s="118"/>
      <c r="B20" s="119"/>
      <c r="C20" s="119"/>
      <c r="D20" s="119"/>
      <c r="E20" s="119"/>
      <c r="F20" s="119"/>
      <c r="G20" s="119"/>
      <c r="H20" s="119"/>
      <c r="I20" s="127"/>
    </row>
    <row r="21" spans="1:9" ht="18" customHeight="1">
      <c r="A21" s="118"/>
      <c r="B21" s="119"/>
      <c r="C21" s="119"/>
      <c r="D21" s="119"/>
      <c r="E21" s="119"/>
      <c r="F21" s="119"/>
      <c r="G21" s="119"/>
      <c r="H21" s="119"/>
      <c r="I21" s="127"/>
    </row>
    <row r="22" spans="1:9" ht="18" customHeight="1">
      <c r="A22" s="118"/>
      <c r="B22" s="119"/>
      <c r="C22" s="119"/>
      <c r="D22" s="119"/>
      <c r="E22" s="119"/>
      <c r="F22" s="119"/>
      <c r="G22" s="119"/>
      <c r="H22" s="119"/>
      <c r="I22" s="127"/>
    </row>
    <row r="23" spans="1:9" ht="18" customHeight="1">
      <c r="A23" s="118"/>
      <c r="B23" s="119"/>
      <c r="C23" s="119"/>
      <c r="D23" s="119"/>
      <c r="E23" s="119"/>
      <c r="F23" s="119"/>
      <c r="G23" s="119"/>
      <c r="H23" s="119"/>
      <c r="I23" s="127"/>
    </row>
    <row r="24" spans="1:9" ht="18" customHeight="1">
      <c r="A24" s="118"/>
      <c r="B24" s="119"/>
      <c r="C24" s="119"/>
      <c r="D24" s="119"/>
      <c r="E24" s="119"/>
      <c r="F24" s="119"/>
      <c r="G24" s="119"/>
      <c r="H24" s="119"/>
      <c r="I24" s="127"/>
    </row>
    <row r="25" spans="1:9" ht="18" customHeight="1">
      <c r="A25" s="118"/>
      <c r="B25" s="119"/>
      <c r="C25" s="119"/>
      <c r="D25" s="119"/>
      <c r="E25" s="119"/>
      <c r="F25" s="119"/>
      <c r="G25" s="119"/>
      <c r="H25" s="119"/>
      <c r="I25" s="127"/>
    </row>
    <row r="26" spans="1:9" ht="18" customHeight="1">
      <c r="A26" s="118"/>
      <c r="B26" s="119"/>
      <c r="C26" s="119"/>
      <c r="D26" s="119"/>
      <c r="E26" s="119"/>
      <c r="F26" s="119"/>
      <c r="G26" s="119"/>
      <c r="H26" s="119"/>
      <c r="I26" s="127"/>
    </row>
    <row r="27" spans="1:9" ht="18" customHeight="1">
      <c r="A27" s="118"/>
      <c r="B27" s="119"/>
      <c r="C27" s="119"/>
      <c r="D27" s="119"/>
      <c r="E27" s="119"/>
      <c r="F27" s="119"/>
      <c r="G27" s="119"/>
      <c r="H27" s="119"/>
      <c r="I27" s="127"/>
    </row>
    <row r="28" spans="1:9" ht="18" customHeight="1">
      <c r="A28" s="118"/>
      <c r="B28" s="119"/>
      <c r="C28" s="119"/>
      <c r="D28" s="119"/>
      <c r="E28" s="119"/>
      <c r="F28" s="119"/>
      <c r="G28" s="119"/>
      <c r="H28" s="119"/>
      <c r="I28" s="127"/>
    </row>
    <row r="29" spans="1:9" ht="18" customHeight="1">
      <c r="A29" s="118"/>
      <c r="B29" s="119"/>
      <c r="C29" s="119"/>
      <c r="D29" s="119"/>
      <c r="E29" s="119"/>
      <c r="F29" s="119"/>
      <c r="G29" s="119"/>
      <c r="H29" s="119"/>
      <c r="I29" s="127"/>
    </row>
    <row r="30" spans="1:9" ht="18" customHeight="1">
      <c r="A30" s="118"/>
      <c r="B30" s="119"/>
      <c r="C30" s="119"/>
      <c r="D30" s="119"/>
      <c r="E30" s="119"/>
      <c r="F30" s="119"/>
      <c r="G30" s="119"/>
      <c r="H30" s="119"/>
      <c r="I30" s="127"/>
    </row>
    <row r="31" spans="1:9" ht="25.5" customHeight="1">
      <c r="A31" s="527" t="s">
        <v>141</v>
      </c>
      <c r="B31" s="527"/>
      <c r="C31" s="527"/>
      <c r="D31" s="527"/>
      <c r="E31" s="527"/>
      <c r="F31" s="527"/>
      <c r="G31" s="527"/>
      <c r="H31" s="527"/>
      <c r="I31" s="527"/>
    </row>
    <row r="32" spans="1:9" ht="22.5" customHeight="1">
      <c r="A32" s="65"/>
      <c r="B32" s="133"/>
      <c r="C32" s="133"/>
      <c r="D32" s="133"/>
      <c r="E32" s="133"/>
      <c r="F32" s="133"/>
      <c r="G32" s="133"/>
      <c r="H32" s="133"/>
      <c r="I32" s="127"/>
    </row>
    <row r="33" spans="1:9" ht="25.5" customHeight="1">
      <c r="A33" s="519" t="s">
        <v>142</v>
      </c>
      <c r="B33" s="519"/>
      <c r="C33" s="519"/>
      <c r="D33" s="519"/>
      <c r="E33" s="519"/>
      <c r="F33" s="519"/>
      <c r="G33" s="519"/>
      <c r="H33" s="519"/>
      <c r="I33" s="519"/>
    </row>
    <row r="34" spans="1:9" ht="24.75" customHeight="1">
      <c r="A34" s="519" t="s">
        <v>182</v>
      </c>
      <c r="B34" s="519"/>
      <c r="C34" s="519"/>
      <c r="D34" s="519"/>
      <c r="E34" s="519"/>
      <c r="F34" s="519"/>
      <c r="G34" s="519"/>
      <c r="H34" s="519"/>
      <c r="I34" s="519"/>
    </row>
    <row r="35" spans="1:9" ht="25.5" customHeight="1">
      <c r="A35" s="519" t="s">
        <v>661</v>
      </c>
      <c r="B35" s="519"/>
      <c r="C35" s="519"/>
      <c r="D35" s="519"/>
      <c r="E35" s="519"/>
      <c r="F35" s="519"/>
      <c r="G35" s="519"/>
      <c r="H35" s="519"/>
      <c r="I35" s="519"/>
    </row>
    <row r="36" spans="1:9" ht="22.5" customHeight="1">
      <c r="A36" s="65"/>
      <c r="B36" s="133"/>
      <c r="C36" s="133"/>
      <c r="D36" s="133"/>
      <c r="E36" s="133"/>
      <c r="F36" s="133"/>
      <c r="G36" s="133"/>
      <c r="H36" s="133"/>
      <c r="I36" s="127"/>
    </row>
    <row r="37" spans="1:9" ht="18" customHeight="1">
      <c r="A37" s="118"/>
      <c r="B37" s="119"/>
      <c r="C37" s="119"/>
      <c r="D37" s="119"/>
      <c r="E37" s="119"/>
      <c r="F37" s="119"/>
      <c r="G37" s="119"/>
      <c r="H37" s="119"/>
      <c r="I37" s="127"/>
    </row>
    <row r="38" spans="1:9" ht="18" customHeight="1">
      <c r="A38" s="118"/>
      <c r="B38" s="119"/>
      <c r="C38" s="119"/>
      <c r="D38" s="119"/>
      <c r="E38" s="119"/>
      <c r="F38" s="119"/>
      <c r="G38" s="119"/>
      <c r="H38" s="119"/>
      <c r="I38" s="127"/>
    </row>
    <row r="39" spans="1:9" ht="18" customHeight="1">
      <c r="A39" s="118"/>
      <c r="B39" s="119"/>
      <c r="C39" s="119"/>
      <c r="D39" s="119"/>
      <c r="E39" s="119"/>
      <c r="F39" s="119"/>
      <c r="G39" s="119"/>
      <c r="H39" s="119"/>
      <c r="I39" s="127"/>
    </row>
    <row r="40" spans="1:9" ht="18" customHeight="1">
      <c r="A40" s="118"/>
      <c r="B40" s="119"/>
      <c r="C40" s="119"/>
      <c r="D40" s="119"/>
      <c r="E40" s="119"/>
      <c r="F40" s="119"/>
      <c r="G40" s="119"/>
      <c r="H40" s="119"/>
      <c r="I40" s="127"/>
    </row>
    <row r="41" spans="1:9" ht="18" customHeight="1">
      <c r="A41" s="118"/>
      <c r="B41" s="119"/>
      <c r="C41" s="119"/>
      <c r="D41" s="119"/>
      <c r="E41" s="119"/>
      <c r="F41" s="119"/>
      <c r="G41" s="119"/>
      <c r="H41" s="119"/>
      <c r="I41" s="127"/>
    </row>
    <row r="42" spans="1:9" ht="18" customHeight="1">
      <c r="A42" s="118"/>
      <c r="B42" s="119"/>
      <c r="C42" s="119"/>
      <c r="D42" s="119"/>
      <c r="E42" s="119"/>
      <c r="F42" s="119"/>
      <c r="G42" s="119"/>
      <c r="H42" s="119"/>
      <c r="I42" s="127"/>
    </row>
    <row r="43" spans="1:9" ht="18" customHeight="1">
      <c r="A43" s="118"/>
      <c r="B43" s="119"/>
      <c r="C43" s="119"/>
      <c r="D43" s="119"/>
      <c r="E43" s="119"/>
      <c r="F43" s="119"/>
      <c r="G43" s="119"/>
      <c r="H43" s="119"/>
      <c r="I43" s="127"/>
    </row>
    <row r="44" spans="1:9" ht="18" customHeight="1">
      <c r="A44" s="118"/>
      <c r="B44" s="119"/>
      <c r="C44" s="119"/>
      <c r="D44" s="119"/>
      <c r="E44" s="119"/>
      <c r="F44" s="119"/>
      <c r="G44" s="119"/>
      <c r="H44" s="119"/>
      <c r="I44" s="127"/>
    </row>
    <row r="45" spans="1:9" ht="18" customHeight="1">
      <c r="A45" s="118"/>
      <c r="B45" s="119"/>
      <c r="C45" s="119"/>
      <c r="D45" s="119"/>
      <c r="E45" s="119"/>
      <c r="F45" s="119"/>
      <c r="G45" s="119"/>
      <c r="H45" s="119"/>
      <c r="I45" s="127"/>
    </row>
    <row r="46" spans="1:9" ht="18" customHeight="1">
      <c r="A46" s="118"/>
      <c r="B46" s="119"/>
      <c r="C46" s="119"/>
      <c r="D46" s="119"/>
      <c r="E46" s="119"/>
      <c r="F46" s="119"/>
      <c r="G46" s="119"/>
      <c r="H46" s="119"/>
      <c r="I46" s="127"/>
    </row>
    <row r="47" spans="1:9" ht="18" customHeight="1">
      <c r="A47" s="118"/>
      <c r="B47" s="119"/>
      <c r="C47" s="119"/>
      <c r="D47" s="119"/>
      <c r="E47" s="119"/>
      <c r="F47" s="119"/>
      <c r="G47" s="119"/>
      <c r="H47" s="119"/>
      <c r="I47" s="127"/>
    </row>
    <row r="48" spans="1:9" ht="18" customHeight="1">
      <c r="A48" s="118"/>
      <c r="B48" s="119"/>
      <c r="C48" s="119"/>
      <c r="D48" s="119"/>
      <c r="E48" s="119"/>
      <c r="F48" s="119"/>
      <c r="G48" s="119"/>
      <c r="H48" s="119"/>
      <c r="I48" s="127"/>
    </row>
    <row r="49" spans="1:9" ht="18" customHeight="1">
      <c r="A49" s="118"/>
      <c r="B49" s="119"/>
      <c r="C49" s="119"/>
      <c r="D49" s="119"/>
      <c r="E49" s="119"/>
      <c r="F49" s="119"/>
      <c r="G49" s="119"/>
      <c r="H49" s="119"/>
      <c r="I49" s="127"/>
    </row>
    <row r="50" spans="1:9" ht="18" customHeight="1">
      <c r="A50" s="118"/>
      <c r="B50" s="119"/>
      <c r="C50" s="119"/>
      <c r="D50" s="119"/>
      <c r="E50" s="119"/>
      <c r="F50" s="119"/>
      <c r="G50" s="119"/>
      <c r="H50" s="119"/>
      <c r="I50" s="127"/>
    </row>
    <row r="51" spans="1:9" ht="18" customHeight="1">
      <c r="A51" s="118"/>
      <c r="B51" s="119"/>
      <c r="C51" s="119"/>
      <c r="D51" s="119"/>
      <c r="E51" s="119"/>
      <c r="F51" s="119"/>
      <c r="G51" s="119"/>
      <c r="H51" s="119"/>
      <c r="I51" s="127"/>
    </row>
    <row r="52" spans="1:9" ht="18" customHeight="1">
      <c r="A52" s="118"/>
      <c r="B52" s="119"/>
      <c r="C52" s="119"/>
      <c r="D52" s="119"/>
      <c r="E52" s="119"/>
      <c r="F52" s="119"/>
      <c r="G52" s="119"/>
      <c r="H52" s="119"/>
      <c r="I52" s="127"/>
    </row>
    <row r="53" spans="1:9" ht="18" customHeight="1">
      <c r="A53" s="119"/>
      <c r="B53" s="119"/>
      <c r="C53" s="119"/>
      <c r="D53" s="119"/>
      <c r="E53" s="119"/>
      <c r="F53" s="119"/>
      <c r="G53" s="119"/>
      <c r="H53" s="119"/>
      <c r="I53" s="127"/>
    </row>
    <row r="54" spans="1:9" ht="18" customHeight="1">
      <c r="A54" s="119"/>
      <c r="B54" s="119"/>
      <c r="C54" s="119"/>
      <c r="D54" s="119"/>
      <c r="E54" s="119"/>
      <c r="F54" s="119"/>
      <c r="G54" s="119"/>
      <c r="H54" s="119"/>
      <c r="I54" s="127"/>
    </row>
    <row r="55" spans="1:9" ht="18" customHeight="1">
      <c r="A55" s="127"/>
      <c r="B55" s="127"/>
      <c r="C55" s="127"/>
      <c r="D55" s="127"/>
      <c r="E55" s="127"/>
      <c r="F55" s="127"/>
      <c r="G55" s="127"/>
      <c r="H55" s="127"/>
      <c r="I55" s="127"/>
    </row>
    <row r="56" spans="1:9" ht="18" customHeight="1">
      <c r="A56" s="118"/>
      <c r="B56" s="119"/>
      <c r="C56" s="119"/>
      <c r="D56" s="119"/>
      <c r="E56" s="119"/>
      <c r="F56" s="119"/>
      <c r="G56" s="119"/>
      <c r="H56" s="119"/>
      <c r="I56" s="127"/>
    </row>
    <row r="57" spans="1:9" ht="18" customHeight="1">
      <c r="A57" s="118"/>
      <c r="B57" s="119"/>
      <c r="C57" s="119"/>
      <c r="D57" s="119"/>
      <c r="E57" s="119"/>
      <c r="F57" s="119"/>
      <c r="G57" s="119"/>
      <c r="H57" s="119"/>
      <c r="I57" s="127"/>
    </row>
    <row r="58" spans="1:9" ht="18" customHeight="1">
      <c r="A58" s="118"/>
      <c r="B58" s="119"/>
      <c r="C58" s="119"/>
      <c r="D58" s="119"/>
      <c r="E58" s="119"/>
      <c r="F58" s="119"/>
      <c r="G58" s="119"/>
      <c r="H58" s="119"/>
      <c r="I58" s="127"/>
    </row>
    <row r="59" spans="1:9" ht="22.5" customHeight="1">
      <c r="A59" s="127"/>
      <c r="B59" s="127"/>
      <c r="C59" s="127"/>
      <c r="D59" s="127"/>
      <c r="E59" s="127"/>
      <c r="F59" s="127"/>
      <c r="G59" s="127"/>
      <c r="H59" s="127"/>
      <c r="I59" s="127"/>
    </row>
    <row r="60" spans="1:9" ht="18" customHeight="1">
      <c r="A60" s="118"/>
      <c r="B60" s="119"/>
      <c r="C60" s="119"/>
      <c r="D60" s="119"/>
      <c r="E60" s="119"/>
      <c r="F60" s="119"/>
      <c r="G60" s="119"/>
      <c r="H60" s="119"/>
      <c r="I60" s="127"/>
    </row>
    <row r="61" spans="1:9" ht="27" customHeight="1">
      <c r="A61" s="127"/>
      <c r="B61" s="127"/>
      <c r="C61" s="127"/>
      <c r="D61" s="127"/>
      <c r="E61" s="127"/>
      <c r="F61" s="127"/>
      <c r="G61" s="127"/>
      <c r="H61" s="127"/>
      <c r="I61" s="127"/>
    </row>
    <row r="62" spans="1:9" ht="27" customHeight="1">
      <c r="A62" s="520" t="s">
        <v>662</v>
      </c>
      <c r="B62" s="520"/>
      <c r="C62" s="520"/>
      <c r="D62" s="520"/>
      <c r="E62" s="520"/>
      <c r="F62" s="520"/>
      <c r="G62" s="520"/>
      <c r="H62" s="520"/>
      <c r="I62" s="520"/>
    </row>
    <row r="63" spans="1:9" ht="27" customHeight="1">
      <c r="A63" s="65"/>
      <c r="B63" s="65"/>
      <c r="C63" s="65"/>
      <c r="D63" s="65"/>
      <c r="E63" s="65"/>
      <c r="F63" s="65"/>
      <c r="G63" s="65"/>
      <c r="H63" s="65"/>
      <c r="I63" s="127"/>
    </row>
    <row r="64" ht="27" customHeight="1"/>
    <row r="65" spans="1:9" ht="27" customHeight="1">
      <c r="A65" s="134"/>
      <c r="B65" s="134"/>
      <c r="C65" s="134"/>
      <c r="D65" s="134"/>
      <c r="E65" s="134"/>
      <c r="F65" s="134"/>
      <c r="G65" s="134"/>
      <c r="H65" s="134"/>
      <c r="I65" s="135"/>
    </row>
    <row r="66" spans="1:9" ht="30" customHeight="1">
      <c r="A66" s="520" t="s">
        <v>143</v>
      </c>
      <c r="B66" s="520"/>
      <c r="C66" s="520"/>
      <c r="D66" s="520"/>
      <c r="E66" s="520"/>
      <c r="F66" s="520"/>
      <c r="G66" s="520"/>
      <c r="H66" s="520"/>
      <c r="I66" s="520"/>
    </row>
    <row r="67" spans="1:9" ht="30" customHeight="1">
      <c r="A67" s="520" t="s">
        <v>663</v>
      </c>
      <c r="B67" s="520"/>
      <c r="C67" s="520"/>
      <c r="D67" s="520"/>
      <c r="E67" s="520"/>
      <c r="F67" s="520"/>
      <c r="G67" s="520"/>
      <c r="H67" s="520"/>
      <c r="I67" s="520"/>
    </row>
    <row r="68" spans="1:9" ht="23.25" customHeight="1">
      <c r="A68" s="135"/>
      <c r="B68" s="135"/>
      <c r="C68" s="135"/>
      <c r="D68" s="135"/>
      <c r="E68" s="135"/>
      <c r="F68" s="135"/>
      <c r="G68" s="135"/>
      <c r="H68" s="135"/>
      <c r="I68" s="135"/>
    </row>
    <row r="69" spans="1:9" ht="23.25" customHeight="1">
      <c r="A69" s="135"/>
      <c r="B69" s="135"/>
      <c r="C69" s="135"/>
      <c r="D69" s="135"/>
      <c r="E69" s="135"/>
      <c r="F69" s="135"/>
      <c r="G69" s="135"/>
      <c r="H69" s="135"/>
      <c r="I69" s="135"/>
    </row>
    <row r="70" spans="1:9" ht="19.5" customHeight="1">
      <c r="A70" s="136"/>
      <c r="B70" s="137"/>
      <c r="C70" s="137"/>
      <c r="D70" s="137"/>
      <c r="E70" s="137"/>
      <c r="F70" s="137"/>
      <c r="G70" s="137"/>
      <c r="H70" s="137"/>
      <c r="I70" s="138"/>
    </row>
    <row r="71" spans="1:9" ht="19.5" customHeight="1">
      <c r="A71" s="139"/>
      <c r="B71" s="515" t="s">
        <v>202</v>
      </c>
      <c r="C71" s="515"/>
      <c r="D71" s="515"/>
      <c r="E71" s="515"/>
      <c r="F71" s="515"/>
      <c r="G71" s="515"/>
      <c r="H71" s="515"/>
      <c r="I71" s="515"/>
    </row>
    <row r="72" spans="1:9" ht="19.5" customHeight="1">
      <c r="A72" s="515" t="s">
        <v>203</v>
      </c>
      <c r="B72" s="515"/>
      <c r="C72" s="515"/>
      <c r="D72" s="515"/>
      <c r="E72" s="515"/>
      <c r="F72" s="515"/>
      <c r="G72" s="515"/>
      <c r="H72" s="515"/>
      <c r="I72" s="515"/>
    </row>
    <row r="73" spans="1:9" ht="19.5" customHeight="1">
      <c r="A73" s="139"/>
      <c r="B73" s="515" t="s">
        <v>204</v>
      </c>
      <c r="C73" s="515"/>
      <c r="D73" s="515"/>
      <c r="E73" s="515"/>
      <c r="F73" s="515"/>
      <c r="G73" s="515"/>
      <c r="H73" s="515"/>
      <c r="I73" s="515"/>
    </row>
    <row r="74" spans="1:9" ht="19.5" customHeight="1">
      <c r="A74" s="515" t="s">
        <v>276</v>
      </c>
      <c r="B74" s="515"/>
      <c r="C74" s="515"/>
      <c r="D74" s="515"/>
      <c r="E74" s="515"/>
      <c r="F74" s="515"/>
      <c r="G74" s="515"/>
      <c r="H74" s="515"/>
      <c r="I74" s="515"/>
    </row>
    <row r="75" spans="1:9" ht="19.5" customHeight="1">
      <c r="A75" s="515" t="s">
        <v>277</v>
      </c>
      <c r="B75" s="515"/>
      <c r="C75" s="515"/>
      <c r="D75" s="515"/>
      <c r="E75" s="515"/>
      <c r="F75" s="515"/>
      <c r="G75" s="515"/>
      <c r="H75" s="515"/>
      <c r="I75" s="515"/>
    </row>
    <row r="76" spans="1:9" ht="19.5" customHeight="1">
      <c r="A76" s="515" t="s">
        <v>278</v>
      </c>
      <c r="B76" s="515"/>
      <c r="C76" s="515"/>
      <c r="D76" s="515"/>
      <c r="E76" s="515"/>
      <c r="F76" s="515"/>
      <c r="G76" s="515"/>
      <c r="H76" s="515"/>
      <c r="I76" s="515"/>
    </row>
    <row r="77" spans="1:9" ht="19.5" customHeight="1">
      <c r="A77" s="515" t="s">
        <v>279</v>
      </c>
      <c r="B77" s="515"/>
      <c r="C77" s="515"/>
      <c r="D77" s="515"/>
      <c r="E77" s="515"/>
      <c r="F77" s="515"/>
      <c r="G77" s="515"/>
      <c r="H77" s="515"/>
      <c r="I77" s="515"/>
    </row>
    <row r="78" spans="1:9" ht="19.5" customHeight="1">
      <c r="A78" s="515" t="s">
        <v>911</v>
      </c>
      <c r="B78" s="515"/>
      <c r="C78" s="515"/>
      <c r="D78" s="515"/>
      <c r="E78" s="515"/>
      <c r="F78" s="515"/>
      <c r="G78" s="515"/>
      <c r="H78" s="515"/>
      <c r="I78" s="515"/>
    </row>
    <row r="79" spans="1:9" ht="19.5" customHeight="1">
      <c r="A79" s="515" t="s">
        <v>912</v>
      </c>
      <c r="B79" s="515"/>
      <c r="C79" s="515"/>
      <c r="D79" s="515"/>
      <c r="E79" s="515"/>
      <c r="F79" s="515"/>
      <c r="G79" s="515"/>
      <c r="H79" s="515"/>
      <c r="I79" s="515"/>
    </row>
    <row r="80" spans="1:9" ht="19.5" customHeight="1">
      <c r="A80" s="515" t="s">
        <v>913</v>
      </c>
      <c r="B80" s="515"/>
      <c r="C80" s="515"/>
      <c r="D80" s="515"/>
      <c r="E80" s="515"/>
      <c r="F80" s="515"/>
      <c r="G80" s="515"/>
      <c r="H80" s="515"/>
      <c r="I80" s="515"/>
    </row>
    <row r="81" spans="1:9" ht="19.5" customHeight="1">
      <c r="A81" s="515" t="s">
        <v>914</v>
      </c>
      <c r="B81" s="515"/>
      <c r="C81" s="515"/>
      <c r="D81" s="515"/>
      <c r="E81" s="515"/>
      <c r="F81" s="515"/>
      <c r="G81" s="515"/>
      <c r="H81" s="515"/>
      <c r="I81" s="515"/>
    </row>
    <row r="82" spans="1:9" ht="19.5" customHeight="1">
      <c r="A82" s="139"/>
      <c r="B82" s="515" t="s">
        <v>915</v>
      </c>
      <c r="C82" s="515"/>
      <c r="D82" s="515"/>
      <c r="E82" s="515"/>
      <c r="F82" s="515"/>
      <c r="G82" s="515"/>
      <c r="H82" s="515"/>
      <c r="I82" s="515"/>
    </row>
    <row r="83" spans="1:9" ht="19.5" customHeight="1">
      <c r="A83" s="515" t="s">
        <v>916</v>
      </c>
      <c r="B83" s="515"/>
      <c r="C83" s="515"/>
      <c r="D83" s="515"/>
      <c r="E83" s="515"/>
      <c r="F83" s="515"/>
      <c r="G83" s="515"/>
      <c r="H83" s="515"/>
      <c r="I83" s="515"/>
    </row>
    <row r="84" spans="1:9" ht="19.5" customHeight="1">
      <c r="A84" s="515" t="s">
        <v>917</v>
      </c>
      <c r="B84" s="515"/>
      <c r="C84" s="515"/>
      <c r="D84" s="515"/>
      <c r="E84" s="515"/>
      <c r="F84" s="515"/>
      <c r="G84" s="515"/>
      <c r="H84" s="515"/>
      <c r="I84" s="515"/>
    </row>
    <row r="85" spans="1:9" ht="19.5" customHeight="1">
      <c r="A85" s="139" t="s">
        <v>144</v>
      </c>
      <c r="B85" s="139"/>
      <c r="C85" s="139"/>
      <c r="D85" s="139"/>
      <c r="E85" s="139"/>
      <c r="F85" s="139"/>
      <c r="G85" s="139"/>
      <c r="H85" s="139"/>
      <c r="I85" s="138"/>
    </row>
    <row r="86" spans="1:9" ht="19.5" customHeight="1">
      <c r="A86" s="22" t="s">
        <v>683</v>
      </c>
      <c r="B86" s="491" t="s">
        <v>688</v>
      </c>
      <c r="C86" s="492"/>
      <c r="D86" s="5" t="s">
        <v>151</v>
      </c>
      <c r="E86" s="5" t="s">
        <v>712</v>
      </c>
      <c r="F86" s="5" t="s">
        <v>151</v>
      </c>
      <c r="G86" s="192" t="s">
        <v>713</v>
      </c>
      <c r="H86" s="193"/>
      <c r="I86" s="6" t="s">
        <v>176</v>
      </c>
    </row>
    <row r="87" spans="1:9" ht="19.5" customHeight="1">
      <c r="A87" s="23" t="s">
        <v>684</v>
      </c>
      <c r="B87" s="493"/>
      <c r="C87" s="494"/>
      <c r="D87" s="7" t="s">
        <v>708</v>
      </c>
      <c r="E87" s="7" t="s">
        <v>715</v>
      </c>
      <c r="F87" s="7" t="s">
        <v>716</v>
      </c>
      <c r="G87" s="8" t="s">
        <v>706</v>
      </c>
      <c r="H87" s="9" t="s">
        <v>707</v>
      </c>
      <c r="I87" s="10" t="s">
        <v>177</v>
      </c>
    </row>
    <row r="88" spans="1:9" ht="19.5" customHeight="1">
      <c r="A88" s="13">
        <v>1</v>
      </c>
      <c r="B88" s="535">
        <v>2</v>
      </c>
      <c r="C88" s="536"/>
      <c r="D88" s="12">
        <v>3</v>
      </c>
      <c r="E88" s="12">
        <v>4</v>
      </c>
      <c r="F88" s="12">
        <v>5</v>
      </c>
      <c r="G88" s="12">
        <v>6</v>
      </c>
      <c r="H88" s="12">
        <v>7</v>
      </c>
      <c r="I88" s="13">
        <v>8</v>
      </c>
    </row>
    <row r="89" spans="1:9" ht="19.5" customHeight="1">
      <c r="A89" s="24">
        <v>16019</v>
      </c>
      <c r="B89" s="483" t="s">
        <v>145</v>
      </c>
      <c r="C89" s="484"/>
      <c r="D89" s="120"/>
      <c r="E89" s="120">
        <v>15</v>
      </c>
      <c r="F89" s="120">
        <v>15</v>
      </c>
      <c r="G89" s="15" t="e">
        <f aca="true" t="shared" si="0" ref="G89:G114">F89/D89</f>
        <v>#DIV/0!</v>
      </c>
      <c r="H89" s="15">
        <f aca="true" t="shared" si="1" ref="H89:H114">F89/E89</f>
        <v>1</v>
      </c>
      <c r="I89" s="16">
        <f>F89/F114</f>
        <v>0.006732495511669659</v>
      </c>
    </row>
    <row r="90" spans="1:9" ht="19.5" customHeight="1">
      <c r="A90" s="24">
        <v>16319</v>
      </c>
      <c r="B90" s="483" t="s">
        <v>72</v>
      </c>
      <c r="C90" s="484"/>
      <c r="D90" s="178"/>
      <c r="E90" s="178">
        <v>60</v>
      </c>
      <c r="F90" s="179">
        <v>58</v>
      </c>
      <c r="G90" s="15" t="e">
        <f t="shared" si="0"/>
        <v>#DIV/0!</v>
      </c>
      <c r="H90" s="15">
        <f t="shared" si="1"/>
        <v>0.9666666666666667</v>
      </c>
      <c r="I90" s="154">
        <f>F90/F114</f>
        <v>0.026032315978456014</v>
      </c>
    </row>
    <row r="91" spans="1:9" ht="19.5" customHeight="1">
      <c r="A91" s="24">
        <v>16637</v>
      </c>
      <c r="B91" s="483" t="s">
        <v>73</v>
      </c>
      <c r="C91" s="484"/>
      <c r="D91" s="178"/>
      <c r="E91" s="178">
        <v>25</v>
      </c>
      <c r="F91" s="179">
        <v>25</v>
      </c>
      <c r="G91" s="15" t="e">
        <f t="shared" si="0"/>
        <v>#DIV/0!</v>
      </c>
      <c r="H91" s="15">
        <f t="shared" si="1"/>
        <v>1</v>
      </c>
      <c r="I91" s="154">
        <f>F91/F114</f>
        <v>0.011220825852782765</v>
      </c>
    </row>
    <row r="92" spans="1:9" ht="19.5" customHeight="1">
      <c r="A92" s="24">
        <v>16795</v>
      </c>
      <c r="B92" s="483" t="s">
        <v>74</v>
      </c>
      <c r="C92" s="484"/>
      <c r="D92" s="178"/>
      <c r="E92" s="178">
        <v>6</v>
      </c>
      <c r="F92" s="179">
        <v>5</v>
      </c>
      <c r="G92" s="15" t="e">
        <f t="shared" si="0"/>
        <v>#DIV/0!</v>
      </c>
      <c r="H92" s="15">
        <f t="shared" si="1"/>
        <v>0.8333333333333334</v>
      </c>
      <c r="I92" s="154">
        <f>F92/F114</f>
        <v>0.002244165170556553</v>
      </c>
    </row>
    <row r="93" spans="1:9" ht="19.5" customHeight="1">
      <c r="A93" s="24">
        <v>16919</v>
      </c>
      <c r="B93" s="483" t="s">
        <v>75</v>
      </c>
      <c r="C93" s="484"/>
      <c r="D93" s="178"/>
      <c r="E93" s="178">
        <v>0</v>
      </c>
      <c r="F93" s="179">
        <v>0</v>
      </c>
      <c r="G93" s="15" t="e">
        <f t="shared" si="0"/>
        <v>#DIV/0!</v>
      </c>
      <c r="H93" s="15" t="e">
        <f t="shared" si="1"/>
        <v>#DIV/0!</v>
      </c>
      <c r="I93" s="154">
        <f>F93/F114</f>
        <v>0</v>
      </c>
    </row>
    <row r="94" spans="1:9" ht="19.5" customHeight="1">
      <c r="A94" s="24">
        <v>17519</v>
      </c>
      <c r="B94" s="483" t="s">
        <v>76</v>
      </c>
      <c r="C94" s="484"/>
      <c r="D94" s="178"/>
      <c r="E94" s="178">
        <v>35</v>
      </c>
      <c r="F94" s="179">
        <v>32</v>
      </c>
      <c r="G94" s="15" t="e">
        <f t="shared" si="0"/>
        <v>#DIV/0!</v>
      </c>
      <c r="H94" s="15">
        <f t="shared" si="1"/>
        <v>0.9142857142857143</v>
      </c>
      <c r="I94" s="154">
        <f>F94/F114</f>
        <v>0.01436265709156194</v>
      </c>
    </row>
    <row r="95" spans="1:9" ht="19.5" customHeight="1">
      <c r="A95" s="24">
        <v>18019</v>
      </c>
      <c r="B95" s="483" t="s">
        <v>77</v>
      </c>
      <c r="C95" s="484"/>
      <c r="D95" s="178"/>
      <c r="E95" s="178">
        <v>12</v>
      </c>
      <c r="F95" s="179">
        <v>12</v>
      </c>
      <c r="G95" s="15" t="e">
        <f t="shared" si="0"/>
        <v>#DIV/0!</v>
      </c>
      <c r="H95" s="15">
        <f t="shared" si="1"/>
        <v>1</v>
      </c>
      <c r="I95" s="154">
        <f>F95/F114</f>
        <v>0.005385996409335727</v>
      </c>
    </row>
    <row r="96" spans="1:9" ht="19.5" customHeight="1">
      <c r="A96" s="24">
        <v>18295</v>
      </c>
      <c r="B96" s="483" t="s">
        <v>78</v>
      </c>
      <c r="C96" s="484"/>
      <c r="D96" s="178"/>
      <c r="E96" s="178">
        <v>44</v>
      </c>
      <c r="F96" s="179">
        <v>43</v>
      </c>
      <c r="G96" s="15" t="e">
        <f t="shared" si="0"/>
        <v>#DIV/0!</v>
      </c>
      <c r="H96" s="15">
        <f t="shared" si="1"/>
        <v>0.9772727272727273</v>
      </c>
      <c r="I96" s="154">
        <f>F96/F114</f>
        <v>0.019299820466786355</v>
      </c>
    </row>
    <row r="97" spans="1:9" ht="19.5" customHeight="1">
      <c r="A97" s="24">
        <v>19595</v>
      </c>
      <c r="B97" s="483" t="s">
        <v>79</v>
      </c>
      <c r="C97" s="484"/>
      <c r="D97" s="178"/>
      <c r="E97" s="178">
        <v>9</v>
      </c>
      <c r="F97" s="179">
        <v>8</v>
      </c>
      <c r="G97" s="15" t="e">
        <f t="shared" si="0"/>
        <v>#DIV/0!</v>
      </c>
      <c r="H97" s="15">
        <f t="shared" si="1"/>
        <v>0.8888888888888888</v>
      </c>
      <c r="I97" s="154">
        <f>F97/F114</f>
        <v>0.003590664272890485</v>
      </c>
    </row>
    <row r="98" spans="1:9" ht="19.5" customHeight="1">
      <c r="A98" s="24">
        <v>47019</v>
      </c>
      <c r="B98" s="483" t="s">
        <v>80</v>
      </c>
      <c r="C98" s="484"/>
      <c r="D98" s="178"/>
      <c r="E98" s="178">
        <v>24</v>
      </c>
      <c r="F98" s="179">
        <v>21</v>
      </c>
      <c r="G98" s="15" t="e">
        <f t="shared" si="0"/>
        <v>#DIV/0!</v>
      </c>
      <c r="H98" s="15">
        <f t="shared" si="1"/>
        <v>0.875</v>
      </c>
      <c r="I98" s="154">
        <f>F98/F114</f>
        <v>0.009425493716337522</v>
      </c>
    </row>
    <row r="99" spans="1:9" ht="19.5" customHeight="1">
      <c r="A99" s="24">
        <v>48019</v>
      </c>
      <c r="B99" s="483" t="s">
        <v>81</v>
      </c>
      <c r="C99" s="484"/>
      <c r="D99" s="178"/>
      <c r="E99" s="178">
        <v>7</v>
      </c>
      <c r="F99" s="179">
        <v>7</v>
      </c>
      <c r="G99" s="15" t="e">
        <f t="shared" si="0"/>
        <v>#DIV/0!</v>
      </c>
      <c r="H99" s="15">
        <f t="shared" si="1"/>
        <v>1</v>
      </c>
      <c r="I99" s="154">
        <f>F99/F114</f>
        <v>0.0031418312387791743</v>
      </c>
    </row>
    <row r="100" spans="1:9" ht="19.5" customHeight="1">
      <c r="A100" s="24">
        <v>65095</v>
      </c>
      <c r="B100" s="483" t="s">
        <v>82</v>
      </c>
      <c r="C100" s="484"/>
      <c r="D100" s="178"/>
      <c r="E100" s="178">
        <v>18</v>
      </c>
      <c r="F100" s="179">
        <v>18</v>
      </c>
      <c r="G100" s="15" t="e">
        <f t="shared" si="0"/>
        <v>#DIV/0!</v>
      </c>
      <c r="H100" s="15">
        <f t="shared" si="1"/>
        <v>1</v>
      </c>
      <c r="I100" s="154">
        <f>F100/F114</f>
        <v>0.00807899461400359</v>
      </c>
    </row>
    <row r="101" spans="1:9" ht="19.5" customHeight="1">
      <c r="A101" s="24">
        <v>65495</v>
      </c>
      <c r="B101" s="483" t="s">
        <v>83</v>
      </c>
      <c r="C101" s="484"/>
      <c r="D101" s="178"/>
      <c r="E101" s="178">
        <v>4</v>
      </c>
      <c r="F101" s="179">
        <v>4</v>
      </c>
      <c r="G101" s="15" t="e">
        <f t="shared" si="0"/>
        <v>#DIV/0!</v>
      </c>
      <c r="H101" s="15">
        <f t="shared" si="1"/>
        <v>1</v>
      </c>
      <c r="I101" s="154">
        <f>F101/F114</f>
        <v>0.0017953321364452424</v>
      </c>
    </row>
    <row r="102" spans="1:9" ht="19.5" customHeight="1">
      <c r="A102" s="24">
        <v>66100</v>
      </c>
      <c r="B102" s="483" t="s">
        <v>84</v>
      </c>
      <c r="C102" s="484"/>
      <c r="D102" s="178"/>
      <c r="E102" s="178">
        <v>13</v>
      </c>
      <c r="F102" s="179">
        <v>12</v>
      </c>
      <c r="G102" s="15" t="e">
        <f t="shared" si="0"/>
        <v>#DIV/0!</v>
      </c>
      <c r="H102" s="15">
        <f t="shared" si="1"/>
        <v>0.9230769230769231</v>
      </c>
      <c r="I102" s="154">
        <f>F102/F114</f>
        <v>0.005385996409335727</v>
      </c>
    </row>
    <row r="103" spans="1:9" ht="27" customHeight="1">
      <c r="A103" s="35"/>
      <c r="B103" s="495" t="s">
        <v>85</v>
      </c>
      <c r="C103" s="496"/>
      <c r="D103" s="183">
        <f>D104+D105+D106</f>
        <v>0</v>
      </c>
      <c r="E103" s="183">
        <f>E104+E105+E106</f>
        <v>375</v>
      </c>
      <c r="F103" s="183">
        <f>F104+F105+F106</f>
        <v>370</v>
      </c>
      <c r="G103" s="184" t="e">
        <f t="shared" si="0"/>
        <v>#DIV/0!</v>
      </c>
      <c r="H103" s="185">
        <f t="shared" si="1"/>
        <v>0.9866666666666667</v>
      </c>
      <c r="I103" s="185">
        <f>F103/F114</f>
        <v>0.16606822262118492</v>
      </c>
    </row>
    <row r="104" spans="1:9" ht="19.5" customHeight="1">
      <c r="A104" s="24">
        <v>73028</v>
      </c>
      <c r="B104" s="483" t="s">
        <v>86</v>
      </c>
      <c r="C104" s="484"/>
      <c r="D104" s="178"/>
      <c r="E104" s="178">
        <v>6</v>
      </c>
      <c r="F104" s="179">
        <v>5</v>
      </c>
      <c r="G104" s="15" t="e">
        <f t="shared" si="0"/>
        <v>#DIV/0!</v>
      </c>
      <c r="H104" s="15">
        <f t="shared" si="1"/>
        <v>0.8333333333333334</v>
      </c>
      <c r="I104" s="154">
        <f>F104/F103</f>
        <v>0.013513513513513514</v>
      </c>
    </row>
    <row r="105" spans="1:9" ht="19.5" customHeight="1">
      <c r="A105" s="24">
        <v>74100</v>
      </c>
      <c r="B105" s="483" t="s">
        <v>87</v>
      </c>
      <c r="C105" s="484"/>
      <c r="D105" s="178"/>
      <c r="E105" s="178">
        <v>350</v>
      </c>
      <c r="F105" s="179">
        <v>348</v>
      </c>
      <c r="G105" s="15" t="e">
        <f t="shared" si="0"/>
        <v>#DIV/0!</v>
      </c>
      <c r="H105" s="15">
        <f t="shared" si="1"/>
        <v>0.9942857142857143</v>
      </c>
      <c r="I105" s="154">
        <f>F105/F103</f>
        <v>0.9405405405405406</v>
      </c>
    </row>
    <row r="106" spans="1:9" ht="19.5" customHeight="1">
      <c r="A106" s="24">
        <v>75590</v>
      </c>
      <c r="B106" s="483" t="s">
        <v>88</v>
      </c>
      <c r="C106" s="484"/>
      <c r="D106" s="178"/>
      <c r="E106" s="178">
        <v>19</v>
      </c>
      <c r="F106" s="179">
        <v>17</v>
      </c>
      <c r="G106" s="15" t="e">
        <f t="shared" si="0"/>
        <v>#DIV/0!</v>
      </c>
      <c r="H106" s="15">
        <f t="shared" si="1"/>
        <v>0.8947368421052632</v>
      </c>
      <c r="I106" s="154">
        <f>F106/F103</f>
        <v>0.04594594594594595</v>
      </c>
    </row>
    <row r="107" spans="1:9" ht="19.5" customHeight="1">
      <c r="A107" s="24">
        <v>76095</v>
      </c>
      <c r="B107" s="483" t="s">
        <v>89</v>
      </c>
      <c r="C107" s="484"/>
      <c r="D107" s="178"/>
      <c r="E107" s="178">
        <v>0</v>
      </c>
      <c r="F107" s="179">
        <v>0</v>
      </c>
      <c r="G107" s="15" t="e">
        <f t="shared" si="0"/>
        <v>#DIV/0!</v>
      </c>
      <c r="H107" s="15" t="e">
        <f t="shared" si="1"/>
        <v>#DIV/0!</v>
      </c>
      <c r="I107" s="154">
        <f>F107/F114</f>
        <v>0</v>
      </c>
    </row>
    <row r="108" spans="1:9" ht="19.5" customHeight="1">
      <c r="A108" s="24">
        <v>85019</v>
      </c>
      <c r="B108" s="483" t="s">
        <v>90</v>
      </c>
      <c r="C108" s="484"/>
      <c r="D108" s="178"/>
      <c r="E108" s="178">
        <v>50</v>
      </c>
      <c r="F108" s="179">
        <v>49</v>
      </c>
      <c r="G108" s="15" t="e">
        <f t="shared" si="0"/>
        <v>#DIV/0!</v>
      </c>
      <c r="H108" s="15">
        <f t="shared" si="1"/>
        <v>0.98</v>
      </c>
      <c r="I108" s="154">
        <f>F108/F114</f>
        <v>0.02199281867145422</v>
      </c>
    </row>
    <row r="109" spans="1:9" ht="26.25" customHeight="1">
      <c r="A109" s="182"/>
      <c r="B109" s="495" t="s">
        <v>91</v>
      </c>
      <c r="C109" s="496"/>
      <c r="D109" s="183">
        <f>D110+D111+D112+D113</f>
        <v>0</v>
      </c>
      <c r="E109" s="183">
        <f>E110+E111+E112+E113</f>
        <v>1517</v>
      </c>
      <c r="F109" s="183">
        <f>F110+F111+F112+F113</f>
        <v>1549</v>
      </c>
      <c r="G109" s="184" t="e">
        <f t="shared" si="0"/>
        <v>#DIV/0!</v>
      </c>
      <c r="H109" s="185">
        <f t="shared" si="1"/>
        <v>1.021094264996704</v>
      </c>
      <c r="I109" s="185">
        <f>F109/F114</f>
        <v>0.6952423698384201</v>
      </c>
    </row>
    <row r="110" spans="1:9" ht="19.5" customHeight="1">
      <c r="A110" s="24">
        <v>92095</v>
      </c>
      <c r="B110" s="483" t="s">
        <v>86</v>
      </c>
      <c r="C110" s="484"/>
      <c r="D110" s="178"/>
      <c r="E110" s="181">
        <v>14</v>
      </c>
      <c r="F110" s="181">
        <v>13</v>
      </c>
      <c r="G110" s="15" t="e">
        <f t="shared" si="0"/>
        <v>#DIV/0!</v>
      </c>
      <c r="H110" s="15">
        <f t="shared" si="1"/>
        <v>0.9285714285714286</v>
      </c>
      <c r="I110" s="154">
        <f>F110/F109</f>
        <v>0.008392511297611363</v>
      </c>
    </row>
    <row r="111" spans="1:9" ht="19.5" customHeight="1">
      <c r="A111" s="24">
        <v>92570</v>
      </c>
      <c r="B111" s="483" t="s">
        <v>92</v>
      </c>
      <c r="C111" s="484"/>
      <c r="D111" s="178"/>
      <c r="E111" s="178" t="s">
        <v>147</v>
      </c>
      <c r="F111" s="179" t="s">
        <v>147</v>
      </c>
      <c r="G111" s="15" t="e">
        <f t="shared" si="0"/>
        <v>#DIV/0!</v>
      </c>
      <c r="H111" s="15">
        <f t="shared" si="1"/>
        <v>1</v>
      </c>
      <c r="I111" s="154">
        <f>F111/F109</f>
        <v>0.040025823111684955</v>
      </c>
    </row>
    <row r="112" spans="1:9" ht="19.5" customHeight="1">
      <c r="A112" s="24">
        <v>93540</v>
      </c>
      <c r="B112" s="483" t="s">
        <v>93</v>
      </c>
      <c r="C112" s="484"/>
      <c r="D112" s="178"/>
      <c r="E112" s="178">
        <v>1017</v>
      </c>
      <c r="F112" s="179" t="s">
        <v>148</v>
      </c>
      <c r="G112" s="15" t="e">
        <f t="shared" si="0"/>
        <v>#DIV/0!</v>
      </c>
      <c r="H112" s="15">
        <f t="shared" si="1"/>
        <v>1.015732546705998</v>
      </c>
      <c r="I112" s="154">
        <f>F112/F109</f>
        <v>0.6668818592640413</v>
      </c>
    </row>
    <row r="113" spans="1:9" ht="19.5" customHeight="1">
      <c r="A113" s="24">
        <v>94740</v>
      </c>
      <c r="B113" s="483" t="s">
        <v>94</v>
      </c>
      <c r="C113" s="484"/>
      <c r="D113" s="178"/>
      <c r="E113" s="178">
        <v>424</v>
      </c>
      <c r="F113" s="179" t="s">
        <v>149</v>
      </c>
      <c r="G113" s="15" t="e">
        <f t="shared" si="0"/>
        <v>#DIV/0!</v>
      </c>
      <c r="H113" s="15">
        <f t="shared" si="1"/>
        <v>1.0400943396226414</v>
      </c>
      <c r="I113" s="154">
        <f>F113/F109</f>
        <v>0.28469980632666236</v>
      </c>
    </row>
    <row r="114" spans="1:9" ht="30" customHeight="1">
      <c r="A114" s="182"/>
      <c r="B114" s="495" t="s">
        <v>95</v>
      </c>
      <c r="C114" s="496"/>
      <c r="D114" s="183">
        <f>D89+D90+D91+D92+D93+D94+D95+D96+D97+D98+D99+D100+D101+D102+D103+D108+D109</f>
        <v>0</v>
      </c>
      <c r="E114" s="183">
        <f>E89+E90+E91+E92+E93+E94+E95+E96+E97+E98+E99+E100+E101+E102+E103+E108+E109</f>
        <v>2214</v>
      </c>
      <c r="F114" s="183">
        <f>F89+F90+F91+F92+F93+F94+F95+F96+F97+F98+F99+F100+F101+F102+F103+F108+F109</f>
        <v>2228</v>
      </c>
      <c r="G114" s="184" t="e">
        <f t="shared" si="0"/>
        <v>#DIV/0!</v>
      </c>
      <c r="H114" s="185">
        <f t="shared" si="1"/>
        <v>1.006323396567299</v>
      </c>
      <c r="I114" s="185">
        <f>I89+I90+I91+I92+I93+I94+I95+I96+I97+I98+I99+I100+I101+I102+I103+I107+I108+I109</f>
        <v>1</v>
      </c>
    </row>
    <row r="115" spans="1:9" ht="20.25" customHeight="1">
      <c r="A115" s="140"/>
      <c r="B115" s="140"/>
      <c r="C115" s="140"/>
      <c r="D115" s="140"/>
      <c r="E115" s="140"/>
      <c r="F115" s="140"/>
      <c r="G115" s="140"/>
      <c r="H115" s="140"/>
      <c r="I115" s="135"/>
    </row>
    <row r="116" spans="1:9" ht="20.25" customHeight="1">
      <c r="A116" s="140" t="s">
        <v>741</v>
      </c>
      <c r="B116" s="140"/>
      <c r="C116" s="140"/>
      <c r="D116" s="140"/>
      <c r="E116" s="140"/>
      <c r="F116" s="140"/>
      <c r="G116" s="140"/>
      <c r="H116" s="140"/>
      <c r="I116" s="135"/>
    </row>
    <row r="117" spans="1:9" ht="20.25" customHeight="1">
      <c r="A117" s="140"/>
      <c r="B117" s="140"/>
      <c r="C117" s="140"/>
      <c r="D117" s="140"/>
      <c r="E117" s="140"/>
      <c r="F117" s="140"/>
      <c r="G117" s="140"/>
      <c r="H117" s="140"/>
      <c r="I117" s="135"/>
    </row>
    <row r="118" spans="1:9" ht="30" customHeight="1">
      <c r="A118" s="520" t="s">
        <v>171</v>
      </c>
      <c r="B118" s="520"/>
      <c r="C118" s="520"/>
      <c r="D118" s="520"/>
      <c r="E118" s="520"/>
      <c r="F118" s="520"/>
      <c r="G118" s="520"/>
      <c r="H118" s="520"/>
      <c r="I118" s="520"/>
    </row>
    <row r="119" spans="1:8" ht="20.25" customHeight="1">
      <c r="A119" s="140"/>
      <c r="B119" s="140"/>
      <c r="C119" s="140"/>
      <c r="D119" s="140"/>
      <c r="E119" s="140"/>
      <c r="F119" s="140"/>
      <c r="G119" s="140"/>
      <c r="H119" s="140"/>
    </row>
    <row r="120" spans="1:8" ht="20.25" customHeight="1">
      <c r="A120" s="140"/>
      <c r="B120" s="140"/>
      <c r="C120" s="140"/>
      <c r="D120" s="140"/>
      <c r="E120" s="140"/>
      <c r="F120" s="140"/>
      <c r="G120" s="140"/>
      <c r="H120" s="140"/>
    </row>
    <row r="121" spans="1:9" ht="20.25" customHeight="1">
      <c r="A121" s="139"/>
      <c r="B121" s="515" t="s">
        <v>25</v>
      </c>
      <c r="C121" s="515"/>
      <c r="D121" s="515"/>
      <c r="E121" s="515"/>
      <c r="F121" s="515"/>
      <c r="G121" s="515"/>
      <c r="H121" s="515"/>
      <c r="I121" s="515"/>
    </row>
    <row r="122" spans="1:9" ht="20.25" customHeight="1">
      <c r="A122" s="515" t="s">
        <v>26</v>
      </c>
      <c r="B122" s="515"/>
      <c r="C122" s="515"/>
      <c r="D122" s="515"/>
      <c r="E122" s="515"/>
      <c r="F122" s="515"/>
      <c r="G122" s="515"/>
      <c r="H122" s="515"/>
      <c r="I122" s="515"/>
    </row>
    <row r="123" spans="1:9" ht="20.25" customHeight="1">
      <c r="A123" s="515" t="s">
        <v>27</v>
      </c>
      <c r="B123" s="515"/>
      <c r="C123" s="515"/>
      <c r="D123" s="515"/>
      <c r="E123" s="515"/>
      <c r="F123" s="515"/>
      <c r="G123" s="515"/>
      <c r="H123" s="515"/>
      <c r="I123" s="515"/>
    </row>
    <row r="124" ht="30" customHeight="1"/>
    <row r="125" spans="1:9" ht="20.25" customHeight="1">
      <c r="A125" s="123"/>
      <c r="B125" s="123"/>
      <c r="C125" s="123"/>
      <c r="D125" s="123"/>
      <c r="E125" s="123"/>
      <c r="F125" s="123"/>
      <c r="G125" s="123"/>
      <c r="H125" s="123"/>
      <c r="I125" s="135"/>
    </row>
    <row r="126" spans="1:9" ht="20.25" customHeight="1">
      <c r="A126" s="140"/>
      <c r="B126" s="140"/>
      <c r="C126" s="140"/>
      <c r="D126" s="140"/>
      <c r="E126" s="140"/>
      <c r="F126" s="140"/>
      <c r="G126" s="140"/>
      <c r="H126" s="140"/>
      <c r="I126" s="186">
        <v>1</v>
      </c>
    </row>
    <row r="127" ht="20.25" customHeight="1"/>
    <row r="128" spans="1:9" ht="20.25" customHeight="1">
      <c r="A128" s="135"/>
      <c r="B128" s="135"/>
      <c r="C128" s="517" t="s">
        <v>682</v>
      </c>
      <c r="D128" s="517"/>
      <c r="E128" s="517"/>
      <c r="F128" s="517"/>
      <c r="G128" s="135"/>
      <c r="H128" s="135"/>
      <c r="I128" s="135"/>
    </row>
    <row r="129" spans="1:9" ht="20.25" customHeight="1">
      <c r="A129" s="140" t="s">
        <v>741</v>
      </c>
      <c r="B129" s="140"/>
      <c r="C129" s="140"/>
      <c r="D129" s="140"/>
      <c r="E129" s="140"/>
      <c r="F129" s="140"/>
      <c r="G129" s="140"/>
      <c r="H129" s="140"/>
      <c r="I129" s="135"/>
    </row>
    <row r="130" spans="1:9" ht="20.25" customHeight="1">
      <c r="A130" s="528" t="s">
        <v>96</v>
      </c>
      <c r="B130" s="529" t="s">
        <v>688</v>
      </c>
      <c r="C130" s="142" t="s">
        <v>153</v>
      </c>
      <c r="D130" s="143" t="s">
        <v>712</v>
      </c>
      <c r="E130" s="143" t="s">
        <v>152</v>
      </c>
      <c r="F130" s="143" t="s">
        <v>181</v>
      </c>
      <c r="G130" s="512" t="s">
        <v>685</v>
      </c>
      <c r="H130" s="513"/>
      <c r="I130" s="514"/>
    </row>
    <row r="131" spans="1:9" ht="20.25" customHeight="1">
      <c r="A131" s="528"/>
      <c r="B131" s="529"/>
      <c r="C131" s="144" t="s">
        <v>708</v>
      </c>
      <c r="D131" s="145" t="s">
        <v>715</v>
      </c>
      <c r="E131" s="145" t="s">
        <v>716</v>
      </c>
      <c r="F131" s="145" t="s">
        <v>708</v>
      </c>
      <c r="G131" s="8" t="s">
        <v>178</v>
      </c>
      <c r="H131" s="9" t="s">
        <v>179</v>
      </c>
      <c r="I131" s="8" t="s">
        <v>180</v>
      </c>
    </row>
    <row r="132" spans="1:9" ht="20.25" customHeight="1">
      <c r="A132" s="146" t="s">
        <v>183</v>
      </c>
      <c r="B132" s="146" t="s">
        <v>184</v>
      </c>
      <c r="C132" s="147" t="s">
        <v>185</v>
      </c>
      <c r="D132" s="148">
        <v>4</v>
      </c>
      <c r="E132" s="146">
        <v>5</v>
      </c>
      <c r="F132" s="148">
        <v>6</v>
      </c>
      <c r="G132" s="146">
        <v>7</v>
      </c>
      <c r="H132" s="146">
        <v>8</v>
      </c>
      <c r="I132" s="187">
        <v>9</v>
      </c>
    </row>
    <row r="133" spans="1:9" ht="20.25" customHeight="1">
      <c r="A133" s="149" t="s">
        <v>186</v>
      </c>
      <c r="B133" s="150" t="s">
        <v>155</v>
      </c>
      <c r="C133" s="151">
        <v>73569.43</v>
      </c>
      <c r="D133" s="152">
        <v>570000</v>
      </c>
      <c r="E133" s="153">
        <v>48480</v>
      </c>
      <c r="F133" s="153">
        <v>99985</v>
      </c>
      <c r="G133" s="154">
        <f aca="true" t="shared" si="2" ref="G133:G180">F133/C133</f>
        <v>1.3590563363070778</v>
      </c>
      <c r="H133" s="154">
        <f aca="true" t="shared" si="3" ref="H133:H180">F133/D133</f>
        <v>0.17541228070175438</v>
      </c>
      <c r="I133" s="154">
        <f aca="true" t="shared" si="4" ref="I133:I180">F133/E133</f>
        <v>2.0623968646864688</v>
      </c>
    </row>
    <row r="134" spans="1:9" ht="20.25" customHeight="1">
      <c r="A134" s="149" t="s">
        <v>187</v>
      </c>
      <c r="B134" s="150" t="s">
        <v>156</v>
      </c>
      <c r="C134" s="151">
        <v>964</v>
      </c>
      <c r="D134" s="155">
        <v>50000</v>
      </c>
      <c r="E134" s="153">
        <v>11000</v>
      </c>
      <c r="F134" s="153">
        <v>619</v>
      </c>
      <c r="G134" s="154">
        <f t="shared" si="2"/>
        <v>0.6421161825726142</v>
      </c>
      <c r="H134" s="154">
        <f t="shared" si="3"/>
        <v>0.01238</v>
      </c>
      <c r="I134" s="154">
        <f t="shared" si="4"/>
        <v>0.05627272727272727</v>
      </c>
    </row>
    <row r="135" spans="1:9" ht="20.25" customHeight="1">
      <c r="A135" s="149" t="s">
        <v>188</v>
      </c>
      <c r="B135" s="150" t="s">
        <v>157</v>
      </c>
      <c r="C135" s="151">
        <v>3645</v>
      </c>
      <c r="D135" s="155">
        <v>20000</v>
      </c>
      <c r="E135" s="153">
        <v>2680</v>
      </c>
      <c r="F135" s="153">
        <v>4855</v>
      </c>
      <c r="G135" s="154">
        <f t="shared" si="2"/>
        <v>1.3319615912208504</v>
      </c>
      <c r="H135" s="154">
        <f t="shared" si="3"/>
        <v>0.24275</v>
      </c>
      <c r="I135" s="154">
        <f t="shared" si="4"/>
        <v>1.8115671641791045</v>
      </c>
    </row>
    <row r="136" spans="1:9" ht="20.25" customHeight="1">
      <c r="A136" s="149" t="s">
        <v>189</v>
      </c>
      <c r="B136" s="150" t="s">
        <v>689</v>
      </c>
      <c r="C136" s="151">
        <v>2026.54</v>
      </c>
      <c r="D136" s="155">
        <v>10000</v>
      </c>
      <c r="E136" s="153">
        <v>2503</v>
      </c>
      <c r="F136" s="153">
        <v>1598.28</v>
      </c>
      <c r="G136" s="154">
        <f t="shared" si="2"/>
        <v>0.7886742921432589</v>
      </c>
      <c r="H136" s="154">
        <f t="shared" si="3"/>
        <v>0.159828</v>
      </c>
      <c r="I136" s="154">
        <f t="shared" si="4"/>
        <v>0.6385457451058729</v>
      </c>
    </row>
    <row r="137" spans="1:9" ht="20.25" customHeight="1">
      <c r="A137" s="149" t="s">
        <v>190</v>
      </c>
      <c r="B137" s="150" t="s">
        <v>690</v>
      </c>
      <c r="C137" s="151">
        <v>34029</v>
      </c>
      <c r="D137" s="155">
        <v>185000</v>
      </c>
      <c r="E137" s="153">
        <v>39375</v>
      </c>
      <c r="F137" s="153">
        <v>26346</v>
      </c>
      <c r="G137" s="154">
        <f t="shared" si="2"/>
        <v>0.7742219871286256</v>
      </c>
      <c r="H137" s="154">
        <f t="shared" si="3"/>
        <v>0.1424108108108108</v>
      </c>
      <c r="I137" s="154">
        <f t="shared" si="4"/>
        <v>0.6691047619047619</v>
      </c>
    </row>
    <row r="138" spans="1:9" ht="20.25" customHeight="1">
      <c r="A138" s="149" t="s">
        <v>191</v>
      </c>
      <c r="B138" s="150" t="s">
        <v>192</v>
      </c>
      <c r="C138" s="151">
        <v>1966</v>
      </c>
      <c r="D138" s="155">
        <v>9000</v>
      </c>
      <c r="E138" s="153">
        <v>2250</v>
      </c>
      <c r="F138" s="153">
        <v>1084</v>
      </c>
      <c r="G138" s="154">
        <f t="shared" si="2"/>
        <v>0.5513733468972533</v>
      </c>
      <c r="H138" s="154">
        <f t="shared" si="3"/>
        <v>0.12044444444444445</v>
      </c>
      <c r="I138" s="154">
        <f t="shared" si="4"/>
        <v>0.4817777777777778</v>
      </c>
    </row>
    <row r="139" spans="1:9" ht="20.25" customHeight="1">
      <c r="A139" s="149" t="s">
        <v>193</v>
      </c>
      <c r="B139" s="150" t="s">
        <v>194</v>
      </c>
      <c r="C139" s="151">
        <v>810</v>
      </c>
      <c r="D139" s="155">
        <v>10500</v>
      </c>
      <c r="E139" s="153">
        <v>2450</v>
      </c>
      <c r="F139" s="153">
        <v>1660</v>
      </c>
      <c r="G139" s="154">
        <f t="shared" si="2"/>
        <v>2.049382716049383</v>
      </c>
      <c r="H139" s="154">
        <f t="shared" si="3"/>
        <v>0.1580952380952381</v>
      </c>
      <c r="I139" s="154">
        <f t="shared" si="4"/>
        <v>0.6775510204081633</v>
      </c>
    </row>
    <row r="140" spans="1:9" ht="20.25" customHeight="1">
      <c r="A140" s="149" t="s">
        <v>195</v>
      </c>
      <c r="B140" s="150" t="s">
        <v>158</v>
      </c>
      <c r="C140" s="151">
        <v>1048</v>
      </c>
      <c r="D140" s="155">
        <v>5000</v>
      </c>
      <c r="E140" s="153">
        <v>1200</v>
      </c>
      <c r="F140" s="153">
        <v>1499</v>
      </c>
      <c r="G140" s="154">
        <f t="shared" si="2"/>
        <v>1.4303435114503817</v>
      </c>
      <c r="H140" s="154">
        <f t="shared" si="3"/>
        <v>0.2998</v>
      </c>
      <c r="I140" s="154">
        <f t="shared" si="4"/>
        <v>1.2491666666666668</v>
      </c>
    </row>
    <row r="141" spans="1:9" ht="20.25" customHeight="1">
      <c r="A141" s="149" t="s">
        <v>196</v>
      </c>
      <c r="B141" s="150" t="s">
        <v>197</v>
      </c>
      <c r="C141" s="151">
        <v>2586</v>
      </c>
      <c r="D141" s="155" t="s">
        <v>198</v>
      </c>
      <c r="E141" s="153" t="s">
        <v>198</v>
      </c>
      <c r="F141" s="153">
        <v>1728.25</v>
      </c>
      <c r="G141" s="154">
        <f t="shared" si="2"/>
        <v>0.6683101314771849</v>
      </c>
      <c r="H141" s="154" t="e">
        <f t="shared" si="3"/>
        <v>#DIV/0!</v>
      </c>
      <c r="I141" s="154" t="e">
        <f t="shared" si="4"/>
        <v>#DIV/0!</v>
      </c>
    </row>
    <row r="142" spans="1:9" ht="20.25" customHeight="1">
      <c r="A142" s="149" t="s">
        <v>199</v>
      </c>
      <c r="B142" s="150" t="s">
        <v>691</v>
      </c>
      <c r="C142" s="151">
        <v>4870</v>
      </c>
      <c r="D142" s="155">
        <v>16350</v>
      </c>
      <c r="E142" s="153">
        <v>4092</v>
      </c>
      <c r="F142" s="153">
        <v>1820</v>
      </c>
      <c r="G142" s="154">
        <f t="shared" si="2"/>
        <v>0.3737166324435318</v>
      </c>
      <c r="H142" s="154">
        <f t="shared" si="3"/>
        <v>0.11131498470948012</v>
      </c>
      <c r="I142" s="154">
        <f t="shared" si="4"/>
        <v>0.4447702834799609</v>
      </c>
    </row>
    <row r="143" spans="1:9" ht="20.25" customHeight="1">
      <c r="A143" s="149" t="s">
        <v>200</v>
      </c>
      <c r="B143" s="150" t="s">
        <v>692</v>
      </c>
      <c r="C143" s="151">
        <v>70</v>
      </c>
      <c r="D143" s="155">
        <v>700</v>
      </c>
      <c r="E143" s="153">
        <v>178</v>
      </c>
      <c r="F143" s="153">
        <v>1630</v>
      </c>
      <c r="G143" s="156">
        <f t="shared" si="2"/>
        <v>23.285714285714285</v>
      </c>
      <c r="H143" s="154">
        <f t="shared" si="3"/>
        <v>2.3285714285714287</v>
      </c>
      <c r="I143" s="154">
        <f t="shared" si="4"/>
        <v>9.157303370786517</v>
      </c>
    </row>
    <row r="144" spans="1:9" ht="20.25" customHeight="1">
      <c r="A144" s="149" t="s">
        <v>1112</v>
      </c>
      <c r="B144" s="150" t="s">
        <v>159</v>
      </c>
      <c r="C144" s="151">
        <v>2300</v>
      </c>
      <c r="D144" s="155">
        <v>5000</v>
      </c>
      <c r="E144" s="153">
        <v>1256</v>
      </c>
      <c r="F144" s="153">
        <v>5345</v>
      </c>
      <c r="G144" s="154">
        <f t="shared" si="2"/>
        <v>2.3239130434782607</v>
      </c>
      <c r="H144" s="154">
        <f t="shared" si="3"/>
        <v>1.069</v>
      </c>
      <c r="I144" s="154">
        <f t="shared" si="4"/>
        <v>4.255573248407643</v>
      </c>
    </row>
    <row r="145" spans="1:9" ht="20.25" customHeight="1">
      <c r="A145" s="149" t="s">
        <v>1113</v>
      </c>
      <c r="B145" s="150" t="s">
        <v>160</v>
      </c>
      <c r="C145" s="151">
        <v>0</v>
      </c>
      <c r="D145" s="155">
        <v>2000</v>
      </c>
      <c r="E145" s="153">
        <v>506</v>
      </c>
      <c r="F145" s="153">
        <v>0</v>
      </c>
      <c r="G145" s="154" t="e">
        <f t="shared" si="2"/>
        <v>#DIV/0!</v>
      </c>
      <c r="H145" s="154">
        <f t="shared" si="3"/>
        <v>0</v>
      </c>
      <c r="I145" s="154">
        <f t="shared" si="4"/>
        <v>0</v>
      </c>
    </row>
    <row r="146" spans="1:9" ht="20.25" customHeight="1">
      <c r="A146" s="149" t="s">
        <v>1114</v>
      </c>
      <c r="B146" s="150" t="s">
        <v>693</v>
      </c>
      <c r="C146" s="151">
        <v>255</v>
      </c>
      <c r="D146" s="155">
        <v>1500</v>
      </c>
      <c r="E146" s="153">
        <v>375</v>
      </c>
      <c r="F146" s="153">
        <v>0</v>
      </c>
      <c r="G146" s="154">
        <f t="shared" si="2"/>
        <v>0</v>
      </c>
      <c r="H146" s="154">
        <f t="shared" si="3"/>
        <v>0</v>
      </c>
      <c r="I146" s="154">
        <f t="shared" si="4"/>
        <v>0</v>
      </c>
    </row>
    <row r="147" spans="1:9" ht="20.25" customHeight="1">
      <c r="A147" s="149" t="s">
        <v>1115</v>
      </c>
      <c r="B147" s="150" t="s">
        <v>161</v>
      </c>
      <c r="C147" s="151">
        <v>50</v>
      </c>
      <c r="D147" s="155" t="s">
        <v>1116</v>
      </c>
      <c r="E147" s="153">
        <v>100</v>
      </c>
      <c r="F147" s="153">
        <v>0</v>
      </c>
      <c r="G147" s="154">
        <f t="shared" si="2"/>
        <v>0</v>
      </c>
      <c r="H147" s="154">
        <f t="shared" si="3"/>
        <v>0</v>
      </c>
      <c r="I147" s="154">
        <f t="shared" si="4"/>
        <v>0</v>
      </c>
    </row>
    <row r="148" spans="1:9" ht="20.25" customHeight="1">
      <c r="A148" s="149" t="s">
        <v>1117</v>
      </c>
      <c r="B148" s="157" t="s">
        <v>694</v>
      </c>
      <c r="C148" s="151">
        <v>32989</v>
      </c>
      <c r="D148" s="155">
        <v>194750</v>
      </c>
      <c r="E148" s="153">
        <v>43750</v>
      </c>
      <c r="F148" s="153">
        <v>15760</v>
      </c>
      <c r="G148" s="154">
        <f t="shared" si="2"/>
        <v>0.47773500257661644</v>
      </c>
      <c r="H148" s="154">
        <f t="shared" si="3"/>
        <v>0.08092426187419768</v>
      </c>
      <c r="I148" s="154">
        <f t="shared" si="4"/>
        <v>0.36022857142857145</v>
      </c>
    </row>
    <row r="149" spans="1:9" ht="20.25" customHeight="1">
      <c r="A149" s="149"/>
      <c r="B149" s="157" t="s">
        <v>695</v>
      </c>
      <c r="C149" s="151">
        <v>0</v>
      </c>
      <c r="D149" s="155">
        <v>45000</v>
      </c>
      <c r="E149" s="153">
        <v>10000</v>
      </c>
      <c r="F149" s="153">
        <v>0</v>
      </c>
      <c r="G149" s="154" t="e">
        <f t="shared" si="2"/>
        <v>#DIV/0!</v>
      </c>
      <c r="H149" s="154">
        <f t="shared" si="3"/>
        <v>0</v>
      </c>
      <c r="I149" s="154">
        <f t="shared" si="4"/>
        <v>0</v>
      </c>
    </row>
    <row r="150" spans="1:9" ht="20.25" customHeight="1">
      <c r="A150" s="149" t="s">
        <v>1118</v>
      </c>
      <c r="B150" s="157" t="s">
        <v>696</v>
      </c>
      <c r="C150" s="151">
        <v>166254.2</v>
      </c>
      <c r="D150" s="155">
        <v>650000</v>
      </c>
      <c r="E150" s="153">
        <v>130000</v>
      </c>
      <c r="F150" s="158">
        <v>148986.11</v>
      </c>
      <c r="G150" s="154">
        <f t="shared" si="2"/>
        <v>0.896134413446397</v>
      </c>
      <c r="H150" s="154">
        <f t="shared" si="3"/>
        <v>0.22920939999999998</v>
      </c>
      <c r="I150" s="154">
        <f t="shared" si="4"/>
        <v>1.1460469999999998</v>
      </c>
    </row>
    <row r="151" spans="1:9" ht="20.25" customHeight="1">
      <c r="A151" s="149" t="s">
        <v>1119</v>
      </c>
      <c r="B151" s="150" t="s">
        <v>697</v>
      </c>
      <c r="C151" s="151">
        <v>50319.7</v>
      </c>
      <c r="D151" s="155">
        <v>180000</v>
      </c>
      <c r="E151" s="153">
        <v>51000</v>
      </c>
      <c r="F151" s="153">
        <v>45406</v>
      </c>
      <c r="G151" s="154">
        <f t="shared" si="2"/>
        <v>0.9023503717232019</v>
      </c>
      <c r="H151" s="154">
        <f t="shared" si="3"/>
        <v>0.25225555555555557</v>
      </c>
      <c r="I151" s="154">
        <f t="shared" si="4"/>
        <v>0.890313725490196</v>
      </c>
    </row>
    <row r="152" spans="1:9" ht="20.25" customHeight="1">
      <c r="A152" s="149" t="s">
        <v>1120</v>
      </c>
      <c r="B152" s="150" t="s">
        <v>1121</v>
      </c>
      <c r="C152" s="151">
        <v>20000</v>
      </c>
      <c r="D152" s="155">
        <v>10000</v>
      </c>
      <c r="E152" s="153">
        <v>7000</v>
      </c>
      <c r="F152" s="153">
        <v>0</v>
      </c>
      <c r="G152" s="154">
        <f t="shared" si="2"/>
        <v>0</v>
      </c>
      <c r="H152" s="154">
        <f t="shared" si="3"/>
        <v>0</v>
      </c>
      <c r="I152" s="154">
        <f t="shared" si="4"/>
        <v>0</v>
      </c>
    </row>
    <row r="153" spans="1:9" ht="20.25" customHeight="1">
      <c r="A153" s="149" t="s">
        <v>1122</v>
      </c>
      <c r="B153" s="150" t="s">
        <v>1123</v>
      </c>
      <c r="C153" s="151">
        <v>34250</v>
      </c>
      <c r="D153" s="155">
        <v>145000</v>
      </c>
      <c r="E153" s="153">
        <v>33300</v>
      </c>
      <c r="F153" s="153">
        <v>31460</v>
      </c>
      <c r="G153" s="154">
        <f t="shared" si="2"/>
        <v>0.9185401459854015</v>
      </c>
      <c r="H153" s="154">
        <f t="shared" si="3"/>
        <v>0.2169655172413793</v>
      </c>
      <c r="I153" s="154">
        <f t="shared" si="4"/>
        <v>0.9447447447447448</v>
      </c>
    </row>
    <row r="154" spans="1:9" ht="20.25" customHeight="1">
      <c r="A154" s="149" t="s">
        <v>1124</v>
      </c>
      <c r="B154" s="150" t="s">
        <v>162</v>
      </c>
      <c r="C154" s="151">
        <v>7952</v>
      </c>
      <c r="D154" s="155">
        <v>36000</v>
      </c>
      <c r="E154" s="153">
        <v>11000</v>
      </c>
      <c r="F154" s="153">
        <v>2035</v>
      </c>
      <c r="G154" s="154">
        <f t="shared" si="2"/>
        <v>0.25591046277665996</v>
      </c>
      <c r="H154" s="154">
        <f t="shared" si="3"/>
        <v>0.05652777777777778</v>
      </c>
      <c r="I154" s="154">
        <f t="shared" si="4"/>
        <v>0.185</v>
      </c>
    </row>
    <row r="155" spans="1:9" ht="20.25" customHeight="1">
      <c r="A155" s="149"/>
      <c r="B155" s="150" t="s">
        <v>163</v>
      </c>
      <c r="C155" s="151">
        <v>5885.5</v>
      </c>
      <c r="D155" s="155">
        <v>45000</v>
      </c>
      <c r="E155" s="153">
        <v>11250</v>
      </c>
      <c r="F155" s="153">
        <v>1834.5</v>
      </c>
      <c r="G155" s="154">
        <f t="shared" si="2"/>
        <v>0.31169824144082914</v>
      </c>
      <c r="H155" s="154">
        <f t="shared" si="3"/>
        <v>0.040766666666666666</v>
      </c>
      <c r="I155" s="154">
        <f t="shared" si="4"/>
        <v>0.16306666666666667</v>
      </c>
    </row>
    <row r="156" spans="1:9" ht="20.25" customHeight="1">
      <c r="A156" s="149" t="s">
        <v>1125</v>
      </c>
      <c r="B156" s="159" t="s">
        <v>164</v>
      </c>
      <c r="C156" s="151">
        <v>8650</v>
      </c>
      <c r="D156" s="155">
        <v>31000</v>
      </c>
      <c r="E156" s="153">
        <v>7000</v>
      </c>
      <c r="F156" s="153">
        <v>5425</v>
      </c>
      <c r="G156" s="154">
        <f t="shared" si="2"/>
        <v>0.6271676300578035</v>
      </c>
      <c r="H156" s="154">
        <f t="shared" si="3"/>
        <v>0.175</v>
      </c>
      <c r="I156" s="154">
        <f t="shared" si="4"/>
        <v>0.775</v>
      </c>
    </row>
    <row r="157" spans="1:9" ht="20.25" customHeight="1">
      <c r="A157" s="149" t="s">
        <v>1126</v>
      </c>
      <c r="B157" s="157" t="s">
        <v>1127</v>
      </c>
      <c r="C157" s="151">
        <v>760</v>
      </c>
      <c r="D157" s="155">
        <v>1000</v>
      </c>
      <c r="E157" s="153">
        <v>1000</v>
      </c>
      <c r="F157" s="153">
        <v>70</v>
      </c>
      <c r="G157" s="154">
        <f t="shared" si="2"/>
        <v>0.09210526315789473</v>
      </c>
      <c r="H157" s="154">
        <f t="shared" si="3"/>
        <v>0.07</v>
      </c>
      <c r="I157" s="154">
        <f t="shared" si="4"/>
        <v>0.07</v>
      </c>
    </row>
    <row r="158" spans="1:9" ht="20.25" customHeight="1">
      <c r="A158" s="149" t="s">
        <v>1128</v>
      </c>
      <c r="B158" s="150" t="s">
        <v>1129</v>
      </c>
      <c r="C158" s="151">
        <v>0</v>
      </c>
      <c r="D158" s="155">
        <v>2600</v>
      </c>
      <c r="E158" s="153">
        <v>300</v>
      </c>
      <c r="F158" s="153">
        <v>0</v>
      </c>
      <c r="G158" s="154" t="e">
        <f t="shared" si="2"/>
        <v>#DIV/0!</v>
      </c>
      <c r="H158" s="154">
        <f t="shared" si="3"/>
        <v>0</v>
      </c>
      <c r="I158" s="154">
        <f t="shared" si="4"/>
        <v>0</v>
      </c>
    </row>
    <row r="159" spans="1:9" ht="20.25" customHeight="1">
      <c r="A159" s="149" t="s">
        <v>1130</v>
      </c>
      <c r="B159" s="150" t="s">
        <v>327</v>
      </c>
      <c r="C159" s="151">
        <v>200</v>
      </c>
      <c r="D159" s="155">
        <v>3200</v>
      </c>
      <c r="E159" s="153">
        <v>600</v>
      </c>
      <c r="F159" s="153">
        <v>50</v>
      </c>
      <c r="G159" s="154">
        <f t="shared" si="2"/>
        <v>0.25</v>
      </c>
      <c r="H159" s="154">
        <f t="shared" si="3"/>
        <v>0.015625</v>
      </c>
      <c r="I159" s="154">
        <f t="shared" si="4"/>
        <v>0.08333333333333333</v>
      </c>
    </row>
    <row r="160" spans="1:9" ht="20.25" customHeight="1">
      <c r="A160" s="149" t="s">
        <v>328</v>
      </c>
      <c r="B160" s="150" t="s">
        <v>165</v>
      </c>
      <c r="C160" s="151">
        <v>2019</v>
      </c>
      <c r="D160" s="155">
        <v>5000</v>
      </c>
      <c r="E160" s="153">
        <v>0</v>
      </c>
      <c r="F160" s="153">
        <v>0</v>
      </c>
      <c r="G160" s="154">
        <f t="shared" si="2"/>
        <v>0</v>
      </c>
      <c r="H160" s="154">
        <f t="shared" si="3"/>
        <v>0</v>
      </c>
      <c r="I160" s="154" t="e">
        <f t="shared" si="4"/>
        <v>#DIV/0!</v>
      </c>
    </row>
    <row r="161" spans="1:9" ht="20.25" customHeight="1">
      <c r="A161" s="149" t="s">
        <v>329</v>
      </c>
      <c r="B161" s="157" t="s">
        <v>698</v>
      </c>
      <c r="C161" s="151">
        <v>0</v>
      </c>
      <c r="D161" s="155">
        <v>700</v>
      </c>
      <c r="E161" s="153">
        <v>0</v>
      </c>
      <c r="F161" s="153">
        <v>0</v>
      </c>
      <c r="G161" s="154" t="e">
        <f t="shared" si="2"/>
        <v>#DIV/0!</v>
      </c>
      <c r="H161" s="154">
        <f t="shared" si="3"/>
        <v>0</v>
      </c>
      <c r="I161" s="154" t="e">
        <f t="shared" si="4"/>
        <v>#DIV/0!</v>
      </c>
    </row>
    <row r="162" spans="1:9" ht="20.25" customHeight="1">
      <c r="A162" s="149" t="s">
        <v>330</v>
      </c>
      <c r="B162" s="150" t="s">
        <v>174</v>
      </c>
      <c r="C162" s="151">
        <v>0</v>
      </c>
      <c r="D162" s="155">
        <v>1500</v>
      </c>
      <c r="E162" s="153">
        <v>0</v>
      </c>
      <c r="F162" s="153">
        <v>0</v>
      </c>
      <c r="G162" s="154" t="e">
        <f t="shared" si="2"/>
        <v>#DIV/0!</v>
      </c>
      <c r="H162" s="154">
        <f t="shared" si="3"/>
        <v>0</v>
      </c>
      <c r="I162" s="154" t="e">
        <f t="shared" si="4"/>
        <v>#DIV/0!</v>
      </c>
    </row>
    <row r="163" spans="1:9" ht="20.25" customHeight="1">
      <c r="A163" s="149" t="s">
        <v>331</v>
      </c>
      <c r="B163" s="150" t="s">
        <v>167</v>
      </c>
      <c r="C163" s="151">
        <v>0</v>
      </c>
      <c r="D163" s="155" t="s">
        <v>201</v>
      </c>
      <c r="E163" s="153">
        <v>0</v>
      </c>
      <c r="F163" s="153">
        <v>0</v>
      </c>
      <c r="G163" s="154" t="e">
        <f t="shared" si="2"/>
        <v>#DIV/0!</v>
      </c>
      <c r="H163" s="154">
        <f t="shared" si="3"/>
        <v>0</v>
      </c>
      <c r="I163" s="154" t="e">
        <f t="shared" si="4"/>
        <v>#DIV/0!</v>
      </c>
    </row>
    <row r="164" spans="1:9" ht="20.25" customHeight="1">
      <c r="A164" s="149"/>
      <c r="B164" s="150" t="s">
        <v>699</v>
      </c>
      <c r="C164" s="151">
        <v>0</v>
      </c>
      <c r="D164" s="155">
        <v>10000</v>
      </c>
      <c r="E164" s="153">
        <v>1000</v>
      </c>
      <c r="F164" s="153">
        <v>0</v>
      </c>
      <c r="G164" s="154" t="e">
        <f t="shared" si="2"/>
        <v>#DIV/0!</v>
      </c>
      <c r="H164" s="154">
        <f t="shared" si="3"/>
        <v>0</v>
      </c>
      <c r="I164" s="154">
        <f t="shared" si="4"/>
        <v>0</v>
      </c>
    </row>
    <row r="165" spans="1:9" ht="20.25" customHeight="1">
      <c r="A165" s="160" t="s">
        <v>332</v>
      </c>
      <c r="B165" s="161" t="s">
        <v>166</v>
      </c>
      <c r="C165" s="151">
        <v>1337</v>
      </c>
      <c r="D165" s="155" t="s">
        <v>333</v>
      </c>
      <c r="E165" s="153">
        <v>450</v>
      </c>
      <c r="F165" s="153">
        <v>0</v>
      </c>
      <c r="G165" s="154">
        <f t="shared" si="2"/>
        <v>0</v>
      </c>
      <c r="H165" s="154">
        <f t="shared" si="3"/>
        <v>0</v>
      </c>
      <c r="I165" s="154">
        <f t="shared" si="4"/>
        <v>0</v>
      </c>
    </row>
    <row r="166" spans="1:9" ht="20.25" customHeight="1">
      <c r="A166" s="149" t="s">
        <v>334</v>
      </c>
      <c r="B166" s="150" t="s">
        <v>700</v>
      </c>
      <c r="C166" s="151">
        <v>15130</v>
      </c>
      <c r="D166" s="155">
        <v>60000</v>
      </c>
      <c r="E166" s="153">
        <v>10500</v>
      </c>
      <c r="F166" s="153">
        <v>12093.5</v>
      </c>
      <c r="G166" s="154">
        <f t="shared" si="2"/>
        <v>0.7993060145406478</v>
      </c>
      <c r="H166" s="154">
        <f t="shared" si="3"/>
        <v>0.20155833333333334</v>
      </c>
      <c r="I166" s="154">
        <f t="shared" si="4"/>
        <v>1.1517619047619048</v>
      </c>
    </row>
    <row r="167" spans="1:9" ht="20.25" customHeight="1">
      <c r="A167" s="149" t="s">
        <v>335</v>
      </c>
      <c r="B167" s="150" t="s">
        <v>701</v>
      </c>
      <c r="C167" s="151">
        <v>6501</v>
      </c>
      <c r="D167" s="155">
        <v>60000</v>
      </c>
      <c r="E167" s="153">
        <v>10000</v>
      </c>
      <c r="F167" s="153">
        <v>5280</v>
      </c>
      <c r="G167" s="154">
        <f t="shared" si="2"/>
        <v>0.8121827411167513</v>
      </c>
      <c r="H167" s="154">
        <f t="shared" si="3"/>
        <v>0.088</v>
      </c>
      <c r="I167" s="154">
        <f t="shared" si="4"/>
        <v>0.528</v>
      </c>
    </row>
    <row r="168" spans="1:9" ht="20.25" customHeight="1">
      <c r="A168" s="149" t="s">
        <v>336</v>
      </c>
      <c r="B168" s="150" t="s">
        <v>658</v>
      </c>
      <c r="C168" s="151">
        <v>3798</v>
      </c>
      <c r="D168" s="155">
        <v>20000</v>
      </c>
      <c r="E168" s="153">
        <v>4000</v>
      </c>
      <c r="F168" s="153">
        <v>5459.5</v>
      </c>
      <c r="G168" s="154">
        <f t="shared" si="2"/>
        <v>1.4374670879410216</v>
      </c>
      <c r="H168" s="154">
        <f t="shared" si="3"/>
        <v>0.272975</v>
      </c>
      <c r="I168" s="154">
        <f t="shared" si="4"/>
        <v>1.364875</v>
      </c>
    </row>
    <row r="169" spans="1:9" ht="20.25" customHeight="1">
      <c r="A169" s="149" t="s">
        <v>659</v>
      </c>
      <c r="B169" s="150" t="s">
        <v>702</v>
      </c>
      <c r="C169" s="151">
        <v>11670</v>
      </c>
      <c r="D169" s="155">
        <v>35000</v>
      </c>
      <c r="E169" s="153">
        <v>8500</v>
      </c>
      <c r="F169" s="153">
        <v>10270</v>
      </c>
      <c r="G169" s="154">
        <f t="shared" si="2"/>
        <v>0.8800342759211653</v>
      </c>
      <c r="H169" s="154">
        <f t="shared" si="3"/>
        <v>0.2934285714285714</v>
      </c>
      <c r="I169" s="154">
        <f t="shared" si="4"/>
        <v>1.208235294117647</v>
      </c>
    </row>
    <row r="170" spans="1:9" ht="20.25" customHeight="1">
      <c r="A170" s="149" t="s">
        <v>660</v>
      </c>
      <c r="B170" s="150" t="s">
        <v>175</v>
      </c>
      <c r="C170" s="151">
        <v>0</v>
      </c>
      <c r="D170" s="155" t="s">
        <v>198</v>
      </c>
      <c r="E170" s="153" t="s">
        <v>198</v>
      </c>
      <c r="F170" s="153">
        <v>0</v>
      </c>
      <c r="G170" s="154" t="e">
        <f t="shared" si="2"/>
        <v>#DIV/0!</v>
      </c>
      <c r="H170" s="154" t="e">
        <f t="shared" si="3"/>
        <v>#DIV/0!</v>
      </c>
      <c r="I170" s="154" t="e">
        <f t="shared" si="4"/>
        <v>#DIV/0!</v>
      </c>
    </row>
    <row r="171" spans="1:9" ht="20.25" customHeight="1">
      <c r="A171" s="149"/>
      <c r="B171" s="150" t="s">
        <v>705</v>
      </c>
      <c r="C171" s="151">
        <v>0</v>
      </c>
      <c r="D171" s="155" t="s">
        <v>198</v>
      </c>
      <c r="E171" s="153" t="s">
        <v>198</v>
      </c>
      <c r="F171" s="153">
        <v>0</v>
      </c>
      <c r="G171" s="154" t="e">
        <f t="shared" si="2"/>
        <v>#DIV/0!</v>
      </c>
      <c r="H171" s="154" t="e">
        <f t="shared" si="3"/>
        <v>#DIV/0!</v>
      </c>
      <c r="I171" s="154" t="e">
        <f t="shared" si="4"/>
        <v>#DIV/0!</v>
      </c>
    </row>
    <row r="172" spans="1:9" ht="24" customHeight="1">
      <c r="A172" s="162"/>
      <c r="B172" s="163" t="s">
        <v>687</v>
      </c>
      <c r="C172" s="164">
        <f>C133+C134+C135+C136+C137+C138+C139+C140+C141+C142+C143+C144+C145+C146+C147+C148+C149+C150+C151+C152+C153+C154+C155+C156+C157+C158+C159+C160+C161+C162+C163+C164+C165++C166+C167+C168+C169+C170+C171</f>
        <v>495904.37</v>
      </c>
      <c r="D172" s="165">
        <f>D133+D134+D135+D136+D137+D138+D139+D140+D141+D142+D143+D144+D145+D146+D147+D148+D149+D150+D151+D152+D153+D154+D155+D156+D157+D158+D159+D160+D161+D162+D163+D164+D165++D166+D167+D168+D169+D170+D171</f>
        <v>2423400</v>
      </c>
      <c r="E172" s="165">
        <f>E133+E134+E135+E136+E137+E138+E139+E140+E141+E142+E143+E144+E145+E146+E147+E148+E149+E150+E151+E152+E153+E154+E155+E156+E157+E158+E159+E160+E161+E162+E163+E164+E165++E166+E167+E168+E169+E170+E171</f>
        <v>457095</v>
      </c>
      <c r="F172" s="165">
        <f>F133+F134+F135+F136+F137+F138+F139+F140+F141+F142+F143+F144+F145+F146+F147+F148+F149+F150+F151+F152+F153+F154+F155+F156+F157+F158+F159+F160+F161+F162+F163+F164+F165++F166+F167+F168+F169+F170+F171</f>
        <v>432299.14</v>
      </c>
      <c r="G172" s="166">
        <f t="shared" si="2"/>
        <v>0.8717389201470437</v>
      </c>
      <c r="H172" s="166">
        <f t="shared" si="3"/>
        <v>0.17838538417099942</v>
      </c>
      <c r="I172" s="166">
        <f t="shared" si="4"/>
        <v>0.9457533773066868</v>
      </c>
    </row>
    <row r="173" spans="1:9" ht="20.25" customHeight="1">
      <c r="A173" s="149" t="s">
        <v>664</v>
      </c>
      <c r="B173" s="157" t="s">
        <v>170</v>
      </c>
      <c r="C173" s="151">
        <v>16527.5</v>
      </c>
      <c r="D173" s="155">
        <v>85000</v>
      </c>
      <c r="E173" s="153">
        <v>21000</v>
      </c>
      <c r="F173" s="153">
        <v>15425</v>
      </c>
      <c r="G173" s="154">
        <f t="shared" si="2"/>
        <v>0.9332929965209499</v>
      </c>
      <c r="H173" s="154">
        <f t="shared" si="3"/>
        <v>0.1814705882352941</v>
      </c>
      <c r="I173" s="154">
        <f t="shared" si="4"/>
        <v>0.7345238095238096</v>
      </c>
    </row>
    <row r="174" spans="1:9" ht="20.25" customHeight="1">
      <c r="A174" s="149"/>
      <c r="B174" s="157" t="s">
        <v>169</v>
      </c>
      <c r="C174" s="151">
        <v>720</v>
      </c>
      <c r="D174" s="155">
        <v>1520</v>
      </c>
      <c r="E174" s="153">
        <v>450</v>
      </c>
      <c r="F174" s="153">
        <v>0</v>
      </c>
      <c r="G174" s="154">
        <f t="shared" si="2"/>
        <v>0</v>
      </c>
      <c r="H174" s="154">
        <f t="shared" si="3"/>
        <v>0</v>
      </c>
      <c r="I174" s="154">
        <f t="shared" si="4"/>
        <v>0</v>
      </c>
    </row>
    <row r="175" spans="1:9" ht="20.25" customHeight="1">
      <c r="A175" s="149"/>
      <c r="B175" s="157" t="s">
        <v>168</v>
      </c>
      <c r="C175" s="151">
        <v>25325</v>
      </c>
      <c r="D175" s="155">
        <v>50000</v>
      </c>
      <c r="E175" s="153">
        <v>17000</v>
      </c>
      <c r="F175" s="153">
        <v>46593</v>
      </c>
      <c r="G175" s="154">
        <f t="shared" si="2"/>
        <v>1.8398025666337612</v>
      </c>
      <c r="H175" s="154">
        <f t="shared" si="3"/>
        <v>0.93186</v>
      </c>
      <c r="I175" s="154">
        <f t="shared" si="4"/>
        <v>2.740764705882353</v>
      </c>
    </row>
    <row r="176" spans="1:9" ht="20.25" customHeight="1">
      <c r="A176" s="149" t="s">
        <v>665</v>
      </c>
      <c r="B176" s="150" t="s">
        <v>703</v>
      </c>
      <c r="C176" s="151">
        <v>13481.4</v>
      </c>
      <c r="D176" s="155">
        <v>75000</v>
      </c>
      <c r="E176" s="153">
        <v>13500</v>
      </c>
      <c r="F176" s="153">
        <v>25526.1</v>
      </c>
      <c r="G176" s="154">
        <f t="shared" si="2"/>
        <v>1.8934309493079353</v>
      </c>
      <c r="H176" s="154">
        <f t="shared" si="3"/>
        <v>0.340348</v>
      </c>
      <c r="I176" s="154">
        <f t="shared" si="4"/>
        <v>1.8908222222222222</v>
      </c>
    </row>
    <row r="177" spans="1:9" ht="24" customHeight="1">
      <c r="A177" s="167"/>
      <c r="B177" s="168" t="s">
        <v>172</v>
      </c>
      <c r="C177" s="169">
        <f>C172+C173+C174+C175+C176</f>
        <v>551958.27</v>
      </c>
      <c r="D177" s="170">
        <f>D172+D173+D174+D175+D176</f>
        <v>2634920</v>
      </c>
      <c r="E177" s="170">
        <f>E172+E173+E174+E175+E176</f>
        <v>509045</v>
      </c>
      <c r="F177" s="170">
        <f>F172+F173+F174+F175+F176</f>
        <v>519843.24</v>
      </c>
      <c r="G177" s="171">
        <f t="shared" si="2"/>
        <v>0.9418161992572373</v>
      </c>
      <c r="H177" s="171">
        <f t="shared" si="3"/>
        <v>0.19728995187709683</v>
      </c>
      <c r="I177" s="171">
        <f t="shared" si="4"/>
        <v>1.0212127415061536</v>
      </c>
    </row>
    <row r="178" spans="1:9" ht="20.25" customHeight="1">
      <c r="A178" s="149" t="s">
        <v>666</v>
      </c>
      <c r="B178" s="150" t="s">
        <v>154</v>
      </c>
      <c r="C178" s="151">
        <v>0</v>
      </c>
      <c r="D178" s="155" t="s">
        <v>198</v>
      </c>
      <c r="E178" s="153" t="s">
        <v>198</v>
      </c>
      <c r="F178" s="153" t="s">
        <v>198</v>
      </c>
      <c r="G178" s="154" t="e">
        <f t="shared" si="2"/>
        <v>#DIV/0!</v>
      </c>
      <c r="H178" s="154" t="e">
        <f t="shared" si="3"/>
        <v>#DIV/0!</v>
      </c>
      <c r="I178" s="154" t="e">
        <f t="shared" si="4"/>
        <v>#DIV/0!</v>
      </c>
    </row>
    <row r="179" spans="1:9" ht="20.25" customHeight="1">
      <c r="A179" s="149" t="s">
        <v>667</v>
      </c>
      <c r="B179" s="157" t="s">
        <v>704</v>
      </c>
      <c r="C179" s="151">
        <v>18320</v>
      </c>
      <c r="D179" s="155" t="s">
        <v>198</v>
      </c>
      <c r="E179" s="153" t="s">
        <v>198</v>
      </c>
      <c r="F179" s="153">
        <v>0</v>
      </c>
      <c r="G179" s="154">
        <f t="shared" si="2"/>
        <v>0</v>
      </c>
      <c r="H179" s="154" t="e">
        <f t="shared" si="3"/>
        <v>#DIV/0!</v>
      </c>
      <c r="I179" s="154" t="e">
        <f t="shared" si="4"/>
        <v>#DIV/0!</v>
      </c>
    </row>
    <row r="180" spans="1:9" ht="30" customHeight="1">
      <c r="A180" s="189"/>
      <c r="B180" s="190" t="s">
        <v>173</v>
      </c>
      <c r="C180" s="122">
        <f>C177+C178+C179</f>
        <v>570278.27</v>
      </c>
      <c r="D180" s="121">
        <f>D177+D178+D179</f>
        <v>2634920</v>
      </c>
      <c r="E180" s="121">
        <f>E177+E178+E179</f>
        <v>509045</v>
      </c>
      <c r="F180" s="121">
        <f>F177+F178+F179</f>
        <v>519843.24</v>
      </c>
      <c r="G180" s="172">
        <f t="shared" si="2"/>
        <v>0.9115606666899652</v>
      </c>
      <c r="H180" s="172">
        <f t="shared" si="3"/>
        <v>0.19728995187709683</v>
      </c>
      <c r="I180" s="172">
        <f t="shared" si="4"/>
        <v>1.0212127415061536</v>
      </c>
    </row>
    <row r="181" spans="1:9" ht="20.25" customHeight="1">
      <c r="A181" s="140" t="s">
        <v>668</v>
      </c>
      <c r="B181" s="140"/>
      <c r="C181" s="140"/>
      <c r="D181" s="140"/>
      <c r="E181" s="140"/>
      <c r="F181" s="140"/>
      <c r="G181" s="140"/>
      <c r="H181" s="140"/>
      <c r="I181" s="135"/>
    </row>
    <row r="182" spans="1:9" ht="20.25" customHeight="1">
      <c r="A182" s="516" t="s">
        <v>131</v>
      </c>
      <c r="B182" s="516"/>
      <c r="C182" s="516"/>
      <c r="D182" s="516"/>
      <c r="E182" s="516"/>
      <c r="F182" s="516"/>
      <c r="G182" s="516"/>
      <c r="H182" s="516"/>
      <c r="I182" s="516"/>
    </row>
    <row r="183" spans="1:9" ht="20.25" customHeight="1">
      <c r="A183" s="515" t="s">
        <v>132</v>
      </c>
      <c r="B183" s="515"/>
      <c r="C183" s="515"/>
      <c r="D183" s="515"/>
      <c r="E183" s="515"/>
      <c r="F183" s="515"/>
      <c r="G183" s="515"/>
      <c r="H183" s="515"/>
      <c r="I183" s="515"/>
    </row>
    <row r="184" spans="1:9" ht="20.25" customHeight="1">
      <c r="A184" s="515" t="s">
        <v>133</v>
      </c>
      <c r="B184" s="515"/>
      <c r="C184" s="515"/>
      <c r="D184" s="515"/>
      <c r="E184" s="515"/>
      <c r="F184" s="515"/>
      <c r="G184" s="515"/>
      <c r="H184" s="515"/>
      <c r="I184" s="515"/>
    </row>
    <row r="185" spans="1:9" ht="20.25" customHeight="1">
      <c r="A185" s="515" t="s">
        <v>117</v>
      </c>
      <c r="B185" s="515"/>
      <c r="C185" s="515"/>
      <c r="D185" s="515"/>
      <c r="E185" s="515"/>
      <c r="F185" s="515"/>
      <c r="G185" s="515"/>
      <c r="H185" s="515"/>
      <c r="I185" s="515"/>
    </row>
    <row r="186" spans="1:9" ht="20.25" customHeight="1">
      <c r="A186" s="516" t="s">
        <v>118</v>
      </c>
      <c r="B186" s="516"/>
      <c r="C186" s="516"/>
      <c r="D186" s="516"/>
      <c r="E186" s="516"/>
      <c r="F186" s="516"/>
      <c r="G186" s="516"/>
      <c r="H186" s="516"/>
      <c r="I186" s="516"/>
    </row>
    <row r="187" spans="1:9" ht="20.25" customHeight="1">
      <c r="A187" s="517" t="s">
        <v>119</v>
      </c>
      <c r="B187" s="517"/>
      <c r="C187" s="517"/>
      <c r="D187" s="517"/>
      <c r="E187" s="517"/>
      <c r="F187" s="517"/>
      <c r="G187" s="517"/>
      <c r="H187" s="517"/>
      <c r="I187" s="517"/>
    </row>
    <row r="188" spans="1:9" ht="20.25" customHeight="1">
      <c r="A188" s="135"/>
      <c r="B188" s="135"/>
      <c r="C188" s="135"/>
      <c r="D188" s="135"/>
      <c r="E188" s="135"/>
      <c r="F188" s="135"/>
      <c r="G188" s="135"/>
      <c r="H188" s="135"/>
      <c r="I188" s="141">
        <v>2</v>
      </c>
    </row>
    <row r="189" spans="1:9" ht="20.25" customHeight="1">
      <c r="A189" s="135"/>
      <c r="B189" s="135"/>
      <c r="C189" s="135"/>
      <c r="D189" s="135"/>
      <c r="E189" s="135"/>
      <c r="F189" s="135"/>
      <c r="G189" s="135"/>
      <c r="H189" s="135"/>
      <c r="I189" s="135"/>
    </row>
    <row r="190" spans="1:9" ht="20.25" customHeight="1">
      <c r="A190" s="518" t="s">
        <v>120</v>
      </c>
      <c r="B190" s="518"/>
      <c r="C190" s="518"/>
      <c r="D190" s="518"/>
      <c r="E190" s="518"/>
      <c r="F190" s="518"/>
      <c r="G190" s="518"/>
      <c r="H190" s="518"/>
      <c r="I190" s="518"/>
    </row>
    <row r="191" spans="1:9" ht="20.25" customHeight="1">
      <c r="A191" s="135"/>
      <c r="B191" s="518" t="s">
        <v>121</v>
      </c>
      <c r="C191" s="518"/>
      <c r="D191" s="518"/>
      <c r="E191" s="518"/>
      <c r="F191" s="518"/>
      <c r="G191" s="518"/>
      <c r="H191" s="518"/>
      <c r="I191" s="518"/>
    </row>
    <row r="192" spans="1:9" ht="20.25" customHeight="1">
      <c r="A192" s="135"/>
      <c r="B192" s="135"/>
      <c r="C192" s="135"/>
      <c r="D192" s="135"/>
      <c r="E192" s="135"/>
      <c r="F192" s="135"/>
      <c r="G192" s="135"/>
      <c r="I192" s="135"/>
    </row>
    <row r="193" spans="1:9" ht="20.25" customHeight="1">
      <c r="A193" s="173"/>
      <c r="B193" s="173"/>
      <c r="C193" s="517" t="s">
        <v>682</v>
      </c>
      <c r="D193" s="517"/>
      <c r="E193" s="517"/>
      <c r="F193" s="517"/>
      <c r="G193" s="140"/>
      <c r="H193" s="140"/>
      <c r="I193" s="135"/>
    </row>
    <row r="194" spans="1:9" ht="20.25" customHeight="1">
      <c r="A194" s="173"/>
      <c r="B194" s="173"/>
      <c r="C194" s="173"/>
      <c r="D194" s="173"/>
      <c r="E194" s="173"/>
      <c r="F194" s="173"/>
      <c r="G194" s="140"/>
      <c r="H194" s="140"/>
      <c r="I194" s="135"/>
    </row>
    <row r="195" spans="1:9" ht="20.25" customHeight="1">
      <c r="A195" s="22" t="s">
        <v>683</v>
      </c>
      <c r="B195" s="489" t="s">
        <v>688</v>
      </c>
      <c r="C195" s="5" t="s">
        <v>686</v>
      </c>
      <c r="D195" s="5" t="s">
        <v>712</v>
      </c>
      <c r="E195" s="5" t="s">
        <v>481</v>
      </c>
      <c r="F195" s="5" t="s">
        <v>686</v>
      </c>
      <c r="G195" s="512" t="s">
        <v>685</v>
      </c>
      <c r="H195" s="513"/>
      <c r="I195" s="514"/>
    </row>
    <row r="196" spans="1:9" ht="20.25" customHeight="1">
      <c r="A196" s="23" t="s">
        <v>684</v>
      </c>
      <c r="B196" s="490"/>
      <c r="C196" s="7" t="s">
        <v>708</v>
      </c>
      <c r="D196" s="7" t="s">
        <v>715</v>
      </c>
      <c r="E196" s="7" t="s">
        <v>716</v>
      </c>
      <c r="F196" s="7" t="s">
        <v>716</v>
      </c>
      <c r="G196" s="8" t="s">
        <v>178</v>
      </c>
      <c r="H196" s="9" t="s">
        <v>179</v>
      </c>
      <c r="I196" s="8" t="s">
        <v>180</v>
      </c>
    </row>
    <row r="197" spans="1:9" ht="20.25" customHeight="1">
      <c r="A197" s="13">
        <v>1</v>
      </c>
      <c r="B197" s="11">
        <v>2</v>
      </c>
      <c r="C197" s="12">
        <v>3</v>
      </c>
      <c r="D197" s="12">
        <v>4</v>
      </c>
      <c r="E197" s="12">
        <v>5</v>
      </c>
      <c r="F197" s="12">
        <v>6</v>
      </c>
      <c r="G197" s="146">
        <v>7</v>
      </c>
      <c r="H197" s="146">
        <v>8</v>
      </c>
      <c r="I197" s="187">
        <v>9</v>
      </c>
    </row>
    <row r="198" spans="1:9" ht="20.25" customHeight="1">
      <c r="A198" s="188" t="s">
        <v>669</v>
      </c>
      <c r="B198" s="174" t="s">
        <v>1144</v>
      </c>
      <c r="C198" s="153">
        <v>58831.54</v>
      </c>
      <c r="D198" s="153">
        <f>D136+D137+D138+D139+D152</f>
        <v>224500</v>
      </c>
      <c r="E198" s="153">
        <f>E136+E137+E138+E139+E152</f>
        <v>53578</v>
      </c>
      <c r="F198" s="153">
        <f>F136+F137+F138+F139+F152</f>
        <v>30688.28</v>
      </c>
      <c r="G198" s="154">
        <f aca="true" t="shared" si="5" ref="G198:G215">F198/C198</f>
        <v>0.5216297244641225</v>
      </c>
      <c r="H198" s="197">
        <f aca="true" t="shared" si="6" ref="H198:H215">F198/D198</f>
        <v>0.13669612472160356</v>
      </c>
      <c r="I198" s="197">
        <f aca="true" t="shared" si="7" ref="I198:I215">F198/E198</f>
        <v>0.5727776326103998</v>
      </c>
    </row>
    <row r="199" spans="1:9" ht="20.25" customHeight="1">
      <c r="A199" s="188" t="s">
        <v>675</v>
      </c>
      <c r="B199" s="174" t="s">
        <v>146</v>
      </c>
      <c r="C199" s="153">
        <v>10947</v>
      </c>
      <c r="D199" s="153">
        <f>D156+D157+D158+D159+D165+D149</f>
        <v>84300</v>
      </c>
      <c r="E199" s="153">
        <f>E156+E157+E158+E159+E165+E149</f>
        <v>19350</v>
      </c>
      <c r="F199" s="153">
        <f>F156+F157+F158+F159+F165+F149</f>
        <v>5545</v>
      </c>
      <c r="G199" s="154">
        <f t="shared" si="5"/>
        <v>0.5065314698090801</v>
      </c>
      <c r="H199" s="197">
        <f t="shared" si="6"/>
        <v>0.06577698695136418</v>
      </c>
      <c r="I199" s="197">
        <f t="shared" si="7"/>
        <v>0.28656330749354003</v>
      </c>
    </row>
    <row r="200" spans="1:9" ht="20.25" customHeight="1">
      <c r="A200" s="188" t="s">
        <v>672</v>
      </c>
      <c r="B200" s="174" t="s">
        <v>673</v>
      </c>
      <c r="C200" s="153">
        <v>283862.9</v>
      </c>
      <c r="D200" s="153">
        <f>D150+D151+D148+D147+D153</f>
        <v>1170350</v>
      </c>
      <c r="E200" s="153">
        <f>E147+E148+E150+E151+E153</f>
        <v>258150</v>
      </c>
      <c r="F200" s="153">
        <f>F147+F148+F149+F150+F151+F153</f>
        <v>241612.11</v>
      </c>
      <c r="G200" s="154">
        <f t="shared" si="5"/>
        <v>0.8511577596085996</v>
      </c>
      <c r="H200" s="197">
        <f t="shared" si="6"/>
        <v>0.20644432007519117</v>
      </c>
      <c r="I200" s="197">
        <f t="shared" si="7"/>
        <v>0.935936897152818</v>
      </c>
    </row>
    <row r="201" spans="1:9" ht="20.25" customHeight="1">
      <c r="A201" s="188" t="s">
        <v>674</v>
      </c>
      <c r="B201" s="174" t="s">
        <v>77</v>
      </c>
      <c r="C201" s="153">
        <v>13837.5</v>
      </c>
      <c r="D201" s="153">
        <f>D154+D155</f>
        <v>81000</v>
      </c>
      <c r="E201" s="153">
        <f>E154+E155</f>
        <v>22250</v>
      </c>
      <c r="F201" s="153">
        <f>F154+F155</f>
        <v>3869.5</v>
      </c>
      <c r="G201" s="154">
        <f t="shared" si="5"/>
        <v>0.2796386630532972</v>
      </c>
      <c r="H201" s="197">
        <f t="shared" si="6"/>
        <v>0.0477716049382716</v>
      </c>
      <c r="I201" s="197">
        <f t="shared" si="7"/>
        <v>0.17391011235955056</v>
      </c>
    </row>
    <row r="202" spans="1:9" ht="20.25" customHeight="1">
      <c r="A202" s="188">
        <v>18295</v>
      </c>
      <c r="B202" s="174" t="s">
        <v>78</v>
      </c>
      <c r="C202" s="153">
        <v>0</v>
      </c>
      <c r="D202" s="153" t="str">
        <f>D170</f>
        <v>0.00</v>
      </c>
      <c r="E202" s="153" t="str">
        <f>E170</f>
        <v>0.00</v>
      </c>
      <c r="F202" s="153">
        <f>F170</f>
        <v>0</v>
      </c>
      <c r="G202" s="154" t="e">
        <f t="shared" si="5"/>
        <v>#DIV/0!</v>
      </c>
      <c r="H202" s="154" t="e">
        <f t="shared" si="6"/>
        <v>#DIV/0!</v>
      </c>
      <c r="I202" s="154" t="e">
        <f t="shared" si="7"/>
        <v>#DIV/0!</v>
      </c>
    </row>
    <row r="203" spans="1:9" ht="20.25" customHeight="1">
      <c r="A203" s="188" t="s">
        <v>676</v>
      </c>
      <c r="B203" s="174" t="s">
        <v>474</v>
      </c>
      <c r="C203" s="153">
        <v>2019</v>
      </c>
      <c r="D203" s="153">
        <f>D160+D161+D162+D163+D164</f>
        <v>17700</v>
      </c>
      <c r="E203" s="153">
        <f>E160+E161+E162+E163+E164</f>
        <v>1000</v>
      </c>
      <c r="F203" s="153">
        <f>F160+F161+F162+F163+F164</f>
        <v>0</v>
      </c>
      <c r="G203" s="154">
        <f t="shared" si="5"/>
        <v>0</v>
      </c>
      <c r="H203" s="154">
        <f t="shared" si="6"/>
        <v>0</v>
      </c>
      <c r="I203" s="154">
        <f t="shared" si="7"/>
        <v>0</v>
      </c>
    </row>
    <row r="204" spans="1:9" ht="20.25" customHeight="1">
      <c r="A204" s="188" t="s">
        <v>671</v>
      </c>
      <c r="B204" s="174" t="s">
        <v>81</v>
      </c>
      <c r="C204" s="153">
        <v>7495</v>
      </c>
      <c r="D204" s="153">
        <f>D142+D143+D144+D145+D146</f>
        <v>25550</v>
      </c>
      <c r="E204" s="153">
        <f>E143+E144+E145+E142+E146</f>
        <v>6407</v>
      </c>
      <c r="F204" s="153">
        <f>F142+F143+F144+F145+F146</f>
        <v>8795</v>
      </c>
      <c r="G204" s="154">
        <f t="shared" si="5"/>
        <v>1.1734489659773182</v>
      </c>
      <c r="H204" s="154">
        <f t="shared" si="6"/>
        <v>0.3442270058708415</v>
      </c>
      <c r="I204" s="154">
        <f t="shared" si="7"/>
        <v>1.3727173404089277</v>
      </c>
    </row>
    <row r="205" spans="1:9" ht="20.25" customHeight="1">
      <c r="A205" s="188" t="s">
        <v>677</v>
      </c>
      <c r="B205" s="174" t="s">
        <v>678</v>
      </c>
      <c r="C205" s="153">
        <v>37099</v>
      </c>
      <c r="D205" s="153">
        <f>D166+D167+D168+D169</f>
        <v>175000</v>
      </c>
      <c r="E205" s="153">
        <f>E166+E167+E168+E169</f>
        <v>33000</v>
      </c>
      <c r="F205" s="153">
        <f>F166+F167+F168+F169</f>
        <v>33103</v>
      </c>
      <c r="G205" s="154">
        <f t="shared" si="5"/>
        <v>0.8922882018383245</v>
      </c>
      <c r="H205" s="154">
        <f t="shared" si="6"/>
        <v>0.18916</v>
      </c>
      <c r="I205" s="154">
        <f t="shared" si="7"/>
        <v>1.003121212121212</v>
      </c>
    </row>
    <row r="206" spans="1:9" ht="20.25" customHeight="1">
      <c r="A206" s="188">
        <v>66100</v>
      </c>
      <c r="B206" s="174" t="s">
        <v>84</v>
      </c>
      <c r="C206" s="153">
        <v>78178.43</v>
      </c>
      <c r="D206" s="153">
        <f>D133+D134+D135</f>
        <v>640000</v>
      </c>
      <c r="E206" s="153">
        <f>E133+E134+E135</f>
        <v>62160</v>
      </c>
      <c r="F206" s="153">
        <f>F133+F134+F135</f>
        <v>105459</v>
      </c>
      <c r="G206" s="154">
        <f t="shared" si="5"/>
        <v>1.3489526458896657</v>
      </c>
      <c r="H206" s="154">
        <f t="shared" si="6"/>
        <v>0.1647796875</v>
      </c>
      <c r="I206" s="154">
        <f t="shared" si="7"/>
        <v>1.6965733590733592</v>
      </c>
    </row>
    <row r="207" spans="1:9" ht="20.25" customHeight="1">
      <c r="A207" s="188" t="s">
        <v>670</v>
      </c>
      <c r="B207" s="174" t="s">
        <v>475</v>
      </c>
      <c r="C207" s="153">
        <v>3634</v>
      </c>
      <c r="D207" s="153">
        <f>D140+D141</f>
        <v>5000</v>
      </c>
      <c r="E207" s="153">
        <f>E140+E141</f>
        <v>1200</v>
      </c>
      <c r="F207" s="153">
        <f>F140+F141</f>
        <v>3227.25</v>
      </c>
      <c r="G207" s="154">
        <f t="shared" si="5"/>
        <v>0.8880709961474959</v>
      </c>
      <c r="H207" s="154">
        <f t="shared" si="6"/>
        <v>0.64545</v>
      </c>
      <c r="I207" s="154">
        <f t="shared" si="7"/>
        <v>2.689375</v>
      </c>
    </row>
    <row r="208" spans="1:9" ht="20.25" customHeight="1">
      <c r="A208" s="188"/>
      <c r="B208" s="174" t="s">
        <v>705</v>
      </c>
      <c r="C208" s="153" t="s">
        <v>198</v>
      </c>
      <c r="D208" s="153">
        <v>0</v>
      </c>
      <c r="E208" s="153">
        <v>0</v>
      </c>
      <c r="F208" s="153">
        <v>0</v>
      </c>
      <c r="G208" s="154" t="e">
        <f t="shared" si="5"/>
        <v>#DIV/0!</v>
      </c>
      <c r="H208" s="154" t="e">
        <f t="shared" si="6"/>
        <v>#DIV/0!</v>
      </c>
      <c r="I208" s="154" t="e">
        <f t="shared" si="7"/>
        <v>#DIV/0!</v>
      </c>
    </row>
    <row r="209" spans="1:9" ht="23.25" customHeight="1">
      <c r="A209" s="194" t="s">
        <v>477</v>
      </c>
      <c r="B209" s="195" t="s">
        <v>476</v>
      </c>
      <c r="C209" s="196">
        <f>C198+C199+C200+C201+C202+C203+C204+C205+C206+C207+C208</f>
        <v>495904.37000000005</v>
      </c>
      <c r="D209" s="196">
        <f>D198+D199+D200+D201+D202+D203+D204+D205+D206+D207+D208</f>
        <v>2423400</v>
      </c>
      <c r="E209" s="196">
        <f>E198+E199+E200+E201+E202+E203+E204+E205+E206+E207+E208</f>
        <v>457095</v>
      </c>
      <c r="F209" s="196">
        <f>F198+F199+F200+F201+F202+F203+F204+F205+F206+F207+F208</f>
        <v>432299.14</v>
      </c>
      <c r="G209" s="180">
        <f t="shared" si="5"/>
        <v>0.8717389201470436</v>
      </c>
      <c r="H209" s="180">
        <f t="shared" si="6"/>
        <v>0.17838538417099942</v>
      </c>
      <c r="I209" s="180">
        <f t="shared" si="7"/>
        <v>0.9457533773066868</v>
      </c>
    </row>
    <row r="210" spans="1:9" ht="20.25" customHeight="1">
      <c r="A210" s="188" t="s">
        <v>679</v>
      </c>
      <c r="B210" s="174" t="s">
        <v>85</v>
      </c>
      <c r="C210" s="153">
        <v>13481.4</v>
      </c>
      <c r="D210" s="153">
        <v>75000</v>
      </c>
      <c r="E210" s="153">
        <v>13500</v>
      </c>
      <c r="F210" s="153">
        <v>25526.1</v>
      </c>
      <c r="G210" s="154">
        <f t="shared" si="5"/>
        <v>1.8934309493079353</v>
      </c>
      <c r="H210" s="154">
        <f t="shared" si="6"/>
        <v>0.340348</v>
      </c>
      <c r="I210" s="154">
        <f t="shared" si="7"/>
        <v>1.8908222222222222</v>
      </c>
    </row>
    <row r="211" spans="1:9" ht="20.25" customHeight="1">
      <c r="A211" s="188" t="s">
        <v>150</v>
      </c>
      <c r="B211" s="174" t="s">
        <v>91</v>
      </c>
      <c r="C211" s="153">
        <v>42572.5</v>
      </c>
      <c r="D211" s="153">
        <f>85000+1520+50000</f>
        <v>136520</v>
      </c>
      <c r="E211" s="153">
        <f>21000+450+17000</f>
        <v>38450</v>
      </c>
      <c r="F211" s="153">
        <f>15425+0+46593</f>
        <v>62018</v>
      </c>
      <c r="G211" s="154">
        <f t="shared" si="5"/>
        <v>1.4567619942451113</v>
      </c>
      <c r="H211" s="154">
        <f t="shared" si="6"/>
        <v>0.4542777615001465</v>
      </c>
      <c r="I211" s="154">
        <f t="shared" si="7"/>
        <v>1.6129518855656697</v>
      </c>
    </row>
    <row r="212" spans="1:9" ht="23.25" customHeight="1">
      <c r="A212" s="194" t="s">
        <v>478</v>
      </c>
      <c r="B212" s="198" t="s">
        <v>680</v>
      </c>
      <c r="C212" s="196">
        <f>C209+C210+C211</f>
        <v>551958.27</v>
      </c>
      <c r="D212" s="196">
        <f>D209+D210+D211</f>
        <v>2634920</v>
      </c>
      <c r="E212" s="196">
        <f>E209+E210+E211</f>
        <v>509045</v>
      </c>
      <c r="F212" s="196">
        <f>F209+F210+F211</f>
        <v>519843.24</v>
      </c>
      <c r="G212" s="199">
        <f t="shared" si="5"/>
        <v>0.9418161992572373</v>
      </c>
      <c r="H212" s="199">
        <f t="shared" si="6"/>
        <v>0.19728995187709683</v>
      </c>
      <c r="I212" s="199">
        <f t="shared" si="7"/>
        <v>1.0212127415061536</v>
      </c>
    </row>
    <row r="213" spans="1:9" ht="20.25" customHeight="1">
      <c r="A213" s="188"/>
      <c r="B213" s="174" t="s">
        <v>681</v>
      </c>
      <c r="C213" s="153" t="s">
        <v>198</v>
      </c>
      <c r="D213" s="153">
        <v>0</v>
      </c>
      <c r="E213" s="153">
        <v>0</v>
      </c>
      <c r="F213" s="153">
        <v>0</v>
      </c>
      <c r="G213" s="154" t="e">
        <f t="shared" si="5"/>
        <v>#DIV/0!</v>
      </c>
      <c r="H213" s="154" t="e">
        <f t="shared" si="6"/>
        <v>#DIV/0!</v>
      </c>
      <c r="I213" s="154" t="e">
        <f t="shared" si="7"/>
        <v>#DIV/0!</v>
      </c>
    </row>
    <row r="214" spans="1:9" ht="20.25" customHeight="1">
      <c r="A214" s="188"/>
      <c r="B214" s="174" t="s">
        <v>704</v>
      </c>
      <c r="C214" s="153">
        <v>18320</v>
      </c>
      <c r="D214" s="153">
        <v>0</v>
      </c>
      <c r="E214" s="153">
        <v>0</v>
      </c>
      <c r="F214" s="153">
        <v>0</v>
      </c>
      <c r="G214" s="154">
        <f t="shared" si="5"/>
        <v>0</v>
      </c>
      <c r="H214" s="154" t="e">
        <f t="shared" si="6"/>
        <v>#DIV/0!</v>
      </c>
      <c r="I214" s="154" t="e">
        <f t="shared" si="7"/>
        <v>#DIV/0!</v>
      </c>
    </row>
    <row r="215" spans="1:9" ht="30" customHeight="1">
      <c r="A215" s="194" t="s">
        <v>479</v>
      </c>
      <c r="B215" s="198" t="s">
        <v>480</v>
      </c>
      <c r="C215" s="196">
        <f>C212+C213+C214</f>
        <v>570278.27</v>
      </c>
      <c r="D215" s="196">
        <f>D212+D213+D214</f>
        <v>2634920</v>
      </c>
      <c r="E215" s="196">
        <f>E212+E213+E214</f>
        <v>509045</v>
      </c>
      <c r="F215" s="196">
        <f>F212+F213+F214</f>
        <v>519843.24</v>
      </c>
      <c r="G215" s="180">
        <f t="shared" si="5"/>
        <v>0.9115606666899652</v>
      </c>
      <c r="H215" s="180">
        <f t="shared" si="6"/>
        <v>0.19728995187709683</v>
      </c>
      <c r="I215" s="180">
        <f t="shared" si="7"/>
        <v>1.0212127415061536</v>
      </c>
    </row>
    <row r="216" spans="1:9" ht="20.25" customHeight="1">
      <c r="A216" s="40"/>
      <c r="B216" s="140"/>
      <c r="C216" s="140"/>
      <c r="D216" s="140"/>
      <c r="E216" s="140"/>
      <c r="F216" s="140"/>
      <c r="G216" s="140"/>
      <c r="H216" s="140"/>
      <c r="I216" s="135"/>
    </row>
    <row r="217" spans="1:9" ht="20.25" customHeight="1">
      <c r="A217" s="140"/>
      <c r="B217" s="516" t="s">
        <v>482</v>
      </c>
      <c r="C217" s="516"/>
      <c r="D217" s="516"/>
      <c r="E217" s="516"/>
      <c r="F217" s="516"/>
      <c r="G217" s="516"/>
      <c r="H217" s="516"/>
      <c r="I217" s="516"/>
    </row>
    <row r="218" spans="1:9" ht="20.25" customHeight="1">
      <c r="A218" s="509" t="s">
        <v>1146</v>
      </c>
      <c r="B218" s="509"/>
      <c r="C218" s="509"/>
      <c r="D218" s="509"/>
      <c r="E218" s="509"/>
      <c r="F218" s="509"/>
      <c r="G218" s="509"/>
      <c r="H218" s="509"/>
      <c r="I218" s="509"/>
    </row>
    <row r="219" spans="1:9" ht="20.25" customHeight="1">
      <c r="A219" s="509" t="s">
        <v>1145</v>
      </c>
      <c r="B219" s="509"/>
      <c r="C219" s="509"/>
      <c r="D219" s="509"/>
      <c r="E219" s="509"/>
      <c r="F219" s="509"/>
      <c r="G219" s="509"/>
      <c r="H219" s="509"/>
      <c r="I219" s="509"/>
    </row>
    <row r="220" spans="1:9" ht="20.25" customHeight="1">
      <c r="A220" s="202"/>
      <c r="B220" s="202"/>
      <c r="C220" s="202"/>
      <c r="D220" s="202"/>
      <c r="E220" s="141"/>
      <c r="F220" s="141"/>
      <c r="G220" s="141"/>
      <c r="H220" s="141"/>
      <c r="I220" s="141"/>
    </row>
    <row r="221" spans="1:9" ht="20.25" customHeight="1">
      <c r="A221" s="202"/>
      <c r="B221" s="202"/>
      <c r="C221" s="202"/>
      <c r="D221" s="202"/>
      <c r="E221" s="141"/>
      <c r="F221" s="141"/>
      <c r="G221" s="141"/>
      <c r="H221" s="141"/>
      <c r="I221" s="141"/>
    </row>
    <row r="222" spans="1:9" ht="30" customHeight="1">
      <c r="A222" s="534" t="s">
        <v>740</v>
      </c>
      <c r="B222" s="534"/>
      <c r="C222" s="534"/>
      <c r="D222" s="534"/>
      <c r="E222" s="534"/>
      <c r="F222" s="534"/>
      <c r="G222" s="534"/>
      <c r="H222" s="534"/>
      <c r="I222" s="534"/>
    </row>
    <row r="223" spans="1:9" ht="20.25" customHeight="1">
      <c r="A223" s="2"/>
      <c r="B223" s="2"/>
      <c r="C223" s="2"/>
      <c r="D223" s="2"/>
      <c r="E223" s="2"/>
      <c r="F223" s="2"/>
      <c r="G223" s="2"/>
      <c r="H223" s="2"/>
      <c r="I223" s="141"/>
    </row>
    <row r="224" spans="1:9" ht="20.25" customHeight="1">
      <c r="A224" s="1" t="s">
        <v>709</v>
      </c>
      <c r="B224" s="503" t="s">
        <v>1147</v>
      </c>
      <c r="C224" s="503"/>
      <c r="D224" s="503"/>
      <c r="E224" s="503"/>
      <c r="F224" s="503"/>
      <c r="G224" s="503"/>
      <c r="H224" s="503"/>
      <c r="I224" s="503"/>
    </row>
    <row r="225" spans="1:9" ht="20.25" customHeight="1">
      <c r="A225" s="503" t="s">
        <v>214</v>
      </c>
      <c r="B225" s="503"/>
      <c r="C225" s="503"/>
      <c r="D225" s="503"/>
      <c r="E225" s="503"/>
      <c r="F225" s="503"/>
      <c r="G225" s="503"/>
      <c r="H225" s="503"/>
      <c r="I225" s="503"/>
    </row>
    <row r="226" spans="1:9" ht="20.25" customHeight="1">
      <c r="A226" s="503" t="s">
        <v>215</v>
      </c>
      <c r="B226" s="503"/>
      <c r="C226" s="503"/>
      <c r="D226" s="503"/>
      <c r="E226" s="503"/>
      <c r="F226" s="503"/>
      <c r="G226" s="503"/>
      <c r="H226" s="503"/>
      <c r="I226" s="503"/>
    </row>
    <row r="227" spans="1:9" ht="20.25" customHeight="1">
      <c r="A227" s="503" t="s">
        <v>483</v>
      </c>
      <c r="B227" s="503"/>
      <c r="C227" s="503"/>
      <c r="D227" s="503"/>
      <c r="E227" s="503"/>
      <c r="F227" s="503"/>
      <c r="G227" s="503"/>
      <c r="H227" s="503"/>
      <c r="I227" s="503"/>
    </row>
    <row r="228" spans="1:9" ht="20.25" customHeight="1">
      <c r="A228" s="503" t="s">
        <v>484</v>
      </c>
      <c r="B228" s="503"/>
      <c r="C228" s="503"/>
      <c r="D228" s="503"/>
      <c r="E228" s="503"/>
      <c r="F228" s="503"/>
      <c r="G228" s="503"/>
      <c r="H228" s="503"/>
      <c r="I228" s="503"/>
    </row>
    <row r="229" spans="1:9" ht="20.25" customHeight="1">
      <c r="A229" s="503" t="s">
        <v>485</v>
      </c>
      <c r="B229" s="503"/>
      <c r="C229" s="503"/>
      <c r="D229" s="503"/>
      <c r="E229" s="503"/>
      <c r="F229" s="503"/>
      <c r="G229" s="503"/>
      <c r="H229" s="503"/>
      <c r="I229" s="503"/>
    </row>
    <row r="230" spans="1:9" ht="20.25" customHeight="1">
      <c r="A230" s="191"/>
      <c r="B230" s="191"/>
      <c r="C230" s="191"/>
      <c r="D230" s="191"/>
      <c r="E230" s="191"/>
      <c r="F230" s="191"/>
      <c r="G230" s="191"/>
      <c r="H230" s="191"/>
      <c r="I230" s="191"/>
    </row>
    <row r="231" spans="1:9" ht="20.25" customHeight="1">
      <c r="A231" s="2"/>
      <c r="B231" s="2"/>
      <c r="C231" s="2"/>
      <c r="D231" s="488" t="s">
        <v>682</v>
      </c>
      <c r="E231" s="488"/>
      <c r="F231" s="488"/>
      <c r="G231" s="2"/>
      <c r="H231" s="2"/>
      <c r="I231" s="135"/>
    </row>
    <row r="232" spans="1:9" ht="20.25" customHeight="1">
      <c r="A232" s="2"/>
      <c r="B232" s="2"/>
      <c r="C232" s="2"/>
      <c r="D232" s="2"/>
      <c r="E232" s="2"/>
      <c r="F232" s="2"/>
      <c r="G232" s="2"/>
      <c r="H232" s="2"/>
      <c r="I232" s="135"/>
    </row>
    <row r="233" spans="1:9" ht="20.25" customHeight="1">
      <c r="A233" s="489" t="s">
        <v>710</v>
      </c>
      <c r="B233" s="491" t="s">
        <v>711</v>
      </c>
      <c r="C233" s="492"/>
      <c r="D233" s="5" t="s">
        <v>686</v>
      </c>
      <c r="E233" s="5" t="s">
        <v>712</v>
      </c>
      <c r="F233" s="5" t="s">
        <v>686</v>
      </c>
      <c r="G233" s="510" t="s">
        <v>713</v>
      </c>
      <c r="H233" s="511"/>
      <c r="I233" s="6" t="s">
        <v>100</v>
      </c>
    </row>
    <row r="234" spans="1:9" ht="20.25" customHeight="1">
      <c r="A234" s="490"/>
      <c r="B234" s="493"/>
      <c r="C234" s="494"/>
      <c r="D234" s="7" t="s">
        <v>708</v>
      </c>
      <c r="E234" s="7" t="s">
        <v>715</v>
      </c>
      <c r="F234" s="7" t="s">
        <v>716</v>
      </c>
      <c r="G234" s="8" t="s">
        <v>706</v>
      </c>
      <c r="H234" s="9" t="s">
        <v>707</v>
      </c>
      <c r="I234" s="10" t="s">
        <v>717</v>
      </c>
    </row>
    <row r="235" spans="1:9" ht="20.25" customHeight="1">
      <c r="A235" s="11">
        <v>1</v>
      </c>
      <c r="B235" s="535">
        <v>2</v>
      </c>
      <c r="C235" s="536"/>
      <c r="D235" s="12">
        <v>3</v>
      </c>
      <c r="E235" s="12">
        <v>4</v>
      </c>
      <c r="F235" s="12">
        <v>5</v>
      </c>
      <c r="G235" s="12">
        <v>6</v>
      </c>
      <c r="H235" s="12">
        <v>7</v>
      </c>
      <c r="I235" s="13">
        <v>8</v>
      </c>
    </row>
    <row r="236" spans="1:9" ht="20.25" customHeight="1">
      <c r="A236" s="4">
        <v>10</v>
      </c>
      <c r="B236" s="504" t="s">
        <v>718</v>
      </c>
      <c r="C236" s="505"/>
      <c r="D236" s="14">
        <f>27744.82+100375.97+25068.31+3945.28+20569.5+26216.19+31954.27+44186.64+7797.51+13426.12+3535.14+12558.46+9063.6+4172.08+255591.82+11475.73+39702.78+12902.59+31988.12+594277.03+275234.21</f>
        <v>1551786.17</v>
      </c>
      <c r="E236" s="200">
        <f>10163622+1798812+532800+3054692</f>
        <v>15549926</v>
      </c>
      <c r="F236" s="201">
        <f>F336+F421+F578+F648+F729</f>
        <v>2561687.8400000003</v>
      </c>
      <c r="G236" s="15">
        <f>F236/D236</f>
        <v>1.6507995041610666</v>
      </c>
      <c r="H236" s="15">
        <f>G236/E236</f>
        <v>1.0616124502207063E-07</v>
      </c>
      <c r="I236" s="16">
        <f>F236/F241</f>
        <v>0.8359338078252379</v>
      </c>
    </row>
    <row r="237" spans="1:9" ht="20.25" customHeight="1">
      <c r="A237" s="4">
        <v>21</v>
      </c>
      <c r="B237" s="504" t="s">
        <v>719</v>
      </c>
      <c r="C237" s="505"/>
      <c r="D237" s="14">
        <f>20715+60+5213.4+461.9+34.8+3620.88+191.2+463+177.6+4200</f>
        <v>35137.78</v>
      </c>
      <c r="E237" s="14">
        <f>120234+123708+284000+2106978</f>
        <v>2634920</v>
      </c>
      <c r="F237" s="14">
        <f>F337+F422+F649+F730</f>
        <v>102467.11</v>
      </c>
      <c r="G237" s="15">
        <f>F237/D237</f>
        <v>2.9161520733523862</v>
      </c>
      <c r="H237" s="15">
        <f>F237/E237</f>
        <v>0.03888812943087456</v>
      </c>
      <c r="I237" s="16">
        <f>F237/F241</f>
        <v>0.03343722060965379</v>
      </c>
    </row>
    <row r="238" spans="1:9" ht="20.25" customHeight="1">
      <c r="A238" s="4">
        <v>22</v>
      </c>
      <c r="B238" s="504" t="s">
        <v>720</v>
      </c>
      <c r="C238" s="505"/>
      <c r="D238" s="14">
        <v>0</v>
      </c>
      <c r="E238" s="14">
        <v>0</v>
      </c>
      <c r="F238" s="14">
        <f>F338+F423+F579+F650+F731</f>
        <v>369635.30999999994</v>
      </c>
      <c r="G238" s="15" t="e">
        <f>F238/D238</f>
        <v>#DIV/0!</v>
      </c>
      <c r="H238" s="15" t="e">
        <f>F238/E238</f>
        <v>#DIV/0!</v>
      </c>
      <c r="I238" s="16">
        <f>F238/F241</f>
        <v>0.12061994727466956</v>
      </c>
    </row>
    <row r="239" spans="1:9" ht="20.25" customHeight="1">
      <c r="A239" s="4">
        <v>31</v>
      </c>
      <c r="B239" s="504" t="s">
        <v>66</v>
      </c>
      <c r="C239" s="505"/>
      <c r="D239" s="14">
        <v>0</v>
      </c>
      <c r="E239" s="14">
        <v>0</v>
      </c>
      <c r="F239" s="14">
        <v>0</v>
      </c>
      <c r="G239" s="15" t="e">
        <f>F239/D239</f>
        <v>#DIV/0!</v>
      </c>
      <c r="H239" s="15" t="e">
        <f>F239/E239</f>
        <v>#DIV/0!</v>
      </c>
      <c r="I239" s="16">
        <f>F239/F241</f>
        <v>0</v>
      </c>
    </row>
    <row r="240" spans="1:9" ht="20.25" customHeight="1">
      <c r="A240" s="4" t="s">
        <v>67</v>
      </c>
      <c r="B240" s="504" t="s">
        <v>68</v>
      </c>
      <c r="C240" s="505"/>
      <c r="D240" s="14">
        <f>40.2+957.3+1200+1150.54+52.5+52.5+15340</f>
        <v>18793.04</v>
      </c>
      <c r="E240" s="14">
        <v>0</v>
      </c>
      <c r="F240" s="14">
        <f>F340+F425+F733</f>
        <v>30672.28</v>
      </c>
      <c r="G240" s="15">
        <f>F240/D240</f>
        <v>1.6321084827148773</v>
      </c>
      <c r="H240" s="15" t="e">
        <f>F240/E240</f>
        <v>#DIV/0!</v>
      </c>
      <c r="I240" s="16">
        <f>F240/F241</f>
        <v>0.010009024290438871</v>
      </c>
    </row>
    <row r="241" spans="1:9" ht="30" customHeight="1">
      <c r="A241" s="17"/>
      <c r="B241" s="548" t="s">
        <v>69</v>
      </c>
      <c r="C241" s="549"/>
      <c r="D241" s="18">
        <f>D236+D237+D238+D239+D240</f>
        <v>1605716.99</v>
      </c>
      <c r="E241" s="19">
        <f>E236+E237+E238+E239+E240</f>
        <v>18184846</v>
      </c>
      <c r="F241" s="18">
        <f>F236+F237+F238+F239+F240</f>
        <v>3064462.54</v>
      </c>
      <c r="G241" s="20">
        <f>F241/D241</f>
        <v>1.9084698979239174</v>
      </c>
      <c r="H241" s="20">
        <f>F241/E241</f>
        <v>0.16851737650129126</v>
      </c>
      <c r="I241" s="21">
        <f>I236+I237+I238+I239+I240</f>
        <v>1</v>
      </c>
    </row>
    <row r="242" spans="1:9" ht="20.25" customHeight="1">
      <c r="A242" s="2"/>
      <c r="B242" s="2"/>
      <c r="C242" s="2"/>
      <c r="D242" s="2"/>
      <c r="E242" s="2"/>
      <c r="F242" s="2"/>
      <c r="G242" s="2"/>
      <c r="H242" s="2"/>
      <c r="I242" s="135"/>
    </row>
    <row r="243" spans="1:9" ht="20.25" customHeight="1">
      <c r="A243" s="488" t="s">
        <v>216</v>
      </c>
      <c r="B243" s="488"/>
      <c r="C243" s="488"/>
      <c r="D243" s="488"/>
      <c r="E243" s="488"/>
      <c r="F243" s="488"/>
      <c r="G243" s="488"/>
      <c r="H243" s="488"/>
      <c r="I243" s="488"/>
    </row>
    <row r="244" spans="1:9" ht="20.25" customHeight="1">
      <c r="A244" s="488" t="s">
        <v>217</v>
      </c>
      <c r="B244" s="488"/>
      <c r="C244" s="488"/>
      <c r="D244" s="488"/>
      <c r="E244" s="488"/>
      <c r="F244" s="488"/>
      <c r="G244" s="488"/>
      <c r="H244" s="488"/>
      <c r="I244" s="488"/>
    </row>
    <row r="245" spans="1:9" ht="20.25" customHeight="1">
      <c r="A245" s="488" t="s">
        <v>218</v>
      </c>
      <c r="B245" s="488"/>
      <c r="C245" s="488"/>
      <c r="D245" s="488"/>
      <c r="E245" s="488"/>
      <c r="F245" s="488"/>
      <c r="G245" s="488"/>
      <c r="H245" s="488"/>
      <c r="I245" s="488"/>
    </row>
    <row r="246" spans="1:9" ht="20.25" customHeight="1">
      <c r="A246" s="488" t="s">
        <v>219</v>
      </c>
      <c r="B246" s="488"/>
      <c r="C246" s="488"/>
      <c r="D246" s="488"/>
      <c r="E246" s="488"/>
      <c r="F246" s="488"/>
      <c r="G246" s="488"/>
      <c r="H246" s="488"/>
      <c r="I246" s="488"/>
    </row>
    <row r="247" spans="1:9" ht="20.25" customHeight="1">
      <c r="A247" s="503" t="s">
        <v>220</v>
      </c>
      <c r="B247" s="503"/>
      <c r="C247" s="503"/>
      <c r="D247" s="503"/>
      <c r="E247" s="503"/>
      <c r="F247" s="503"/>
      <c r="G247" s="503"/>
      <c r="H247" s="503"/>
      <c r="I247" s="503"/>
    </row>
    <row r="248" spans="1:9" ht="20.25" customHeight="1">
      <c r="A248" s="503" t="s">
        <v>221</v>
      </c>
      <c r="B248" s="503"/>
      <c r="C248" s="503"/>
      <c r="D248" s="503"/>
      <c r="E248" s="503"/>
      <c r="F248" s="503"/>
      <c r="G248" s="503"/>
      <c r="H248" s="503"/>
      <c r="I248" s="503"/>
    </row>
    <row r="249" spans="1:9" ht="20.25" customHeight="1">
      <c r="A249" s="3"/>
      <c r="B249" s="3"/>
      <c r="C249" s="3"/>
      <c r="D249" s="3"/>
      <c r="E249" s="3"/>
      <c r="F249" s="3"/>
      <c r="G249" s="3"/>
      <c r="H249" s="3"/>
      <c r="I249" s="203">
        <v>3</v>
      </c>
    </row>
    <row r="250" spans="1:9" ht="20.25" customHeight="1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20.25" customHeight="1">
      <c r="A251" s="2"/>
      <c r="B251" s="2"/>
      <c r="D251" s="488" t="s">
        <v>70</v>
      </c>
      <c r="E251" s="488"/>
      <c r="F251" s="488"/>
      <c r="G251" s="2"/>
      <c r="H251" s="2"/>
      <c r="I251" s="135"/>
    </row>
    <row r="252" spans="1:9" ht="20.25" customHeight="1">
      <c r="A252" s="2"/>
      <c r="B252" s="2"/>
      <c r="C252" s="2"/>
      <c r="D252" s="2"/>
      <c r="E252" s="2"/>
      <c r="F252" s="2"/>
      <c r="G252" s="2"/>
      <c r="H252" s="2"/>
      <c r="I252" s="135"/>
    </row>
    <row r="253" spans="1:9" ht="20.25" customHeight="1">
      <c r="A253" s="22" t="s">
        <v>683</v>
      </c>
      <c r="B253" s="491" t="s">
        <v>688</v>
      </c>
      <c r="C253" s="492"/>
      <c r="D253" s="5" t="s">
        <v>686</v>
      </c>
      <c r="E253" s="5" t="s">
        <v>712</v>
      </c>
      <c r="F253" s="5" t="s">
        <v>686</v>
      </c>
      <c r="G253" s="192" t="s">
        <v>713</v>
      </c>
      <c r="H253" s="193"/>
      <c r="I253" s="6" t="s">
        <v>714</v>
      </c>
    </row>
    <row r="254" spans="1:9" ht="20.25" customHeight="1">
      <c r="A254" s="23" t="s">
        <v>684</v>
      </c>
      <c r="B254" s="493"/>
      <c r="C254" s="494"/>
      <c r="D254" s="7" t="s">
        <v>708</v>
      </c>
      <c r="E254" s="7" t="s">
        <v>715</v>
      </c>
      <c r="F254" s="7" t="s">
        <v>716</v>
      </c>
      <c r="G254" s="8" t="s">
        <v>706</v>
      </c>
      <c r="H254" s="9" t="s">
        <v>707</v>
      </c>
      <c r="I254" s="10" t="s">
        <v>717</v>
      </c>
    </row>
    <row r="255" spans="1:9" ht="20.25" customHeight="1">
      <c r="A255" s="13">
        <v>1</v>
      </c>
      <c r="B255" s="535">
        <v>2</v>
      </c>
      <c r="C255" s="536"/>
      <c r="D255" s="12">
        <v>3</v>
      </c>
      <c r="E255" s="12">
        <v>4</v>
      </c>
      <c r="F255" s="12">
        <v>5</v>
      </c>
      <c r="G255" s="12">
        <v>6</v>
      </c>
      <c r="H255" s="12">
        <v>7</v>
      </c>
      <c r="I255" s="13">
        <v>8</v>
      </c>
    </row>
    <row r="256" spans="1:9" ht="20.25" customHeight="1">
      <c r="A256" s="24">
        <v>16019</v>
      </c>
      <c r="B256" s="483" t="s">
        <v>145</v>
      </c>
      <c r="C256" s="484"/>
      <c r="D256" s="25">
        <v>52659.82</v>
      </c>
      <c r="E256" s="25">
        <v>1068322.88</v>
      </c>
      <c r="F256" s="25">
        <v>174267.64</v>
      </c>
      <c r="G256" s="26">
        <f aca="true" t="shared" si="8" ref="G256:G281">F256/D256</f>
        <v>3.3093094507349248</v>
      </c>
      <c r="H256" s="27">
        <f aca="true" t="shared" si="9" ref="H256:H281">F256/E256</f>
        <v>0.16312263198931024</v>
      </c>
      <c r="I256" s="16">
        <f>F256/F281</f>
        <v>0.056867276961395</v>
      </c>
    </row>
    <row r="257" spans="1:9" ht="20.25" customHeight="1">
      <c r="A257" s="24">
        <v>16319</v>
      </c>
      <c r="B257" s="483" t="s">
        <v>72</v>
      </c>
      <c r="C257" s="484"/>
      <c r="D257" s="25">
        <v>100375.97</v>
      </c>
      <c r="E257" s="25">
        <v>661526</v>
      </c>
      <c r="F257" s="25">
        <v>169367.22</v>
      </c>
      <c r="G257" s="26">
        <f t="shared" si="8"/>
        <v>1.6873283515965025</v>
      </c>
      <c r="H257" s="27">
        <f t="shared" si="9"/>
        <v>0.25602503907631746</v>
      </c>
      <c r="I257" s="16">
        <f>F257/F281</f>
        <v>0.05526816457674826</v>
      </c>
    </row>
    <row r="258" spans="1:9" ht="20.25" customHeight="1">
      <c r="A258" s="24">
        <v>16637</v>
      </c>
      <c r="B258" s="483" t="s">
        <v>73</v>
      </c>
      <c r="C258" s="484"/>
      <c r="D258" s="14">
        <v>25068.31</v>
      </c>
      <c r="E258" s="25">
        <v>175500</v>
      </c>
      <c r="F258" s="25">
        <v>36959.52</v>
      </c>
      <c r="G258" s="26">
        <f t="shared" si="8"/>
        <v>1.4743522798305906</v>
      </c>
      <c r="H258" s="27">
        <f t="shared" si="9"/>
        <v>0.21059555555555554</v>
      </c>
      <c r="I258" s="16">
        <f>F258/F281</f>
        <v>0.01206068585194714</v>
      </c>
    </row>
    <row r="259" spans="1:9" ht="20.25" customHeight="1">
      <c r="A259" s="24">
        <v>16795</v>
      </c>
      <c r="B259" s="483" t="s">
        <v>74</v>
      </c>
      <c r="C259" s="484"/>
      <c r="D259" s="25">
        <v>3945.28</v>
      </c>
      <c r="E259" s="25">
        <v>35000</v>
      </c>
      <c r="F259" s="25">
        <v>5611.91</v>
      </c>
      <c r="G259" s="26">
        <f t="shared" si="8"/>
        <v>1.4224364303674262</v>
      </c>
      <c r="H259" s="27">
        <f t="shared" si="9"/>
        <v>0.1603402857142857</v>
      </c>
      <c r="I259" s="16">
        <f>F259/F281</f>
        <v>0.0018312868657223004</v>
      </c>
    </row>
    <row r="260" spans="1:9" ht="20.25" customHeight="1">
      <c r="A260" s="24">
        <v>16919</v>
      </c>
      <c r="B260" s="483" t="s">
        <v>75</v>
      </c>
      <c r="C260" s="484"/>
      <c r="D260" s="25">
        <v>20569.5</v>
      </c>
      <c r="E260" s="25">
        <v>143590</v>
      </c>
      <c r="F260" s="25">
        <v>24865.9</v>
      </c>
      <c r="G260" s="26">
        <f t="shared" si="8"/>
        <v>1.2088723595614868</v>
      </c>
      <c r="H260" s="27">
        <f t="shared" si="9"/>
        <v>0.17317292290549482</v>
      </c>
      <c r="I260" s="16">
        <f>F260/F281</f>
        <v>0.008114277683420467</v>
      </c>
    </row>
    <row r="261" spans="1:9" ht="20.25" customHeight="1">
      <c r="A261" s="24">
        <v>17519</v>
      </c>
      <c r="B261" s="483" t="s">
        <v>76</v>
      </c>
      <c r="C261" s="484"/>
      <c r="D261" s="25">
        <v>28566.73</v>
      </c>
      <c r="E261" s="25">
        <v>217000</v>
      </c>
      <c r="F261" s="25">
        <v>92203.37</v>
      </c>
      <c r="G261" s="26">
        <f t="shared" si="8"/>
        <v>3.227648736834772</v>
      </c>
      <c r="H261" s="27">
        <f t="shared" si="9"/>
        <v>0.42490032258064514</v>
      </c>
      <c r="I261" s="16">
        <f>F261/F281</f>
        <v>0.03008794161993574</v>
      </c>
    </row>
    <row r="262" spans="1:9" ht="20.25" customHeight="1">
      <c r="A262" s="24">
        <v>18019</v>
      </c>
      <c r="B262" s="483" t="s">
        <v>77</v>
      </c>
      <c r="C262" s="484"/>
      <c r="D262" s="25">
        <v>31954.27</v>
      </c>
      <c r="E262" s="25">
        <v>3584269.12</v>
      </c>
      <c r="F262" s="25">
        <v>123478.36</v>
      </c>
      <c r="G262" s="26">
        <f t="shared" si="8"/>
        <v>3.8642209632703235</v>
      </c>
      <c r="H262" s="27">
        <f t="shared" si="9"/>
        <v>0.034450080578770824</v>
      </c>
      <c r="I262" s="16">
        <f>F262/F281</f>
        <v>0.04029364313913265</v>
      </c>
    </row>
    <row r="263" spans="1:9" ht="20.25" customHeight="1">
      <c r="A263" s="24">
        <v>18295</v>
      </c>
      <c r="B263" s="483" t="s">
        <v>78</v>
      </c>
      <c r="C263" s="484"/>
      <c r="D263" s="25">
        <v>44186.64</v>
      </c>
      <c r="E263" s="25">
        <v>396000</v>
      </c>
      <c r="F263" s="25">
        <f>142898.25+27548.1</f>
        <v>170446.35</v>
      </c>
      <c r="G263" s="26">
        <f t="shared" si="8"/>
        <v>3.8574182150985004</v>
      </c>
      <c r="H263" s="27">
        <f t="shared" si="9"/>
        <v>0.4304200757575758</v>
      </c>
      <c r="I263" s="16">
        <f>F263/F281</f>
        <v>0.05562030789255463</v>
      </c>
    </row>
    <row r="264" spans="1:9" ht="20.25" customHeight="1">
      <c r="A264" s="24">
        <v>19595</v>
      </c>
      <c r="B264" s="483" t="s">
        <v>79</v>
      </c>
      <c r="C264" s="484"/>
      <c r="D264" s="25">
        <v>7797.51</v>
      </c>
      <c r="E264" s="25">
        <v>179700</v>
      </c>
      <c r="F264" s="25">
        <v>12485.17</v>
      </c>
      <c r="G264" s="26">
        <f t="shared" si="8"/>
        <v>1.601173964509183</v>
      </c>
      <c r="H264" s="27">
        <f t="shared" si="9"/>
        <v>0.06947785197551475</v>
      </c>
      <c r="I264" s="16">
        <f>F264/F281</f>
        <v>0.004074179350223025</v>
      </c>
    </row>
    <row r="265" spans="1:9" ht="20.25" customHeight="1">
      <c r="A265" s="24">
        <v>47019</v>
      </c>
      <c r="B265" s="483" t="s">
        <v>80</v>
      </c>
      <c r="C265" s="484"/>
      <c r="D265" s="25">
        <v>13426.12</v>
      </c>
      <c r="E265" s="25">
        <v>327000</v>
      </c>
      <c r="F265" s="25">
        <v>16579.59</v>
      </c>
      <c r="G265" s="26">
        <f t="shared" si="8"/>
        <v>1.234875749658129</v>
      </c>
      <c r="H265" s="27">
        <f t="shared" si="9"/>
        <v>0.05070211009174312</v>
      </c>
      <c r="I265" s="16">
        <f>F265/F281</f>
        <v>0.005410276609222314</v>
      </c>
    </row>
    <row r="266" spans="1:9" ht="20.25" customHeight="1">
      <c r="A266" s="24">
        <v>48019</v>
      </c>
      <c r="B266" s="483" t="s">
        <v>81</v>
      </c>
      <c r="C266" s="484"/>
      <c r="D266" s="25">
        <v>19977.64</v>
      </c>
      <c r="E266" s="25">
        <v>88400</v>
      </c>
      <c r="F266" s="25">
        <v>35520.36</v>
      </c>
      <c r="G266" s="26">
        <f t="shared" si="8"/>
        <v>1.7780058104961347</v>
      </c>
      <c r="H266" s="27">
        <f t="shared" si="9"/>
        <v>0.4018140271493213</v>
      </c>
      <c r="I266" s="16">
        <f>F266/F281</f>
        <v>0.011591057007993316</v>
      </c>
    </row>
    <row r="267" spans="1:9" ht="20.25" customHeight="1">
      <c r="A267" s="24">
        <v>65095</v>
      </c>
      <c r="B267" s="483" t="s">
        <v>82</v>
      </c>
      <c r="C267" s="484"/>
      <c r="D267" s="25">
        <v>12558.46</v>
      </c>
      <c r="E267" s="25">
        <v>161189</v>
      </c>
      <c r="F267" s="25">
        <v>24615.11</v>
      </c>
      <c r="G267" s="26">
        <f t="shared" si="8"/>
        <v>1.960042075222599</v>
      </c>
      <c r="H267" s="27">
        <f t="shared" si="9"/>
        <v>0.15270961417962764</v>
      </c>
      <c r="I267" s="16">
        <f>F267/F281</f>
        <v>0.008032439515478626</v>
      </c>
    </row>
    <row r="268" spans="1:9" ht="20.25" customHeight="1">
      <c r="A268" s="24">
        <v>65495</v>
      </c>
      <c r="B268" s="483" t="s">
        <v>83</v>
      </c>
      <c r="C268" s="484"/>
      <c r="D268" s="25">
        <v>0</v>
      </c>
      <c r="E268" s="25">
        <v>31000</v>
      </c>
      <c r="F268" s="25">
        <v>4194.89</v>
      </c>
      <c r="G268" s="15" t="e">
        <f t="shared" si="8"/>
        <v>#DIV/0!</v>
      </c>
      <c r="H268" s="16">
        <f t="shared" si="9"/>
        <v>0.13531903225806452</v>
      </c>
      <c r="I268" s="16">
        <f>F268/F281</f>
        <v>0.0013688827796863852</v>
      </c>
    </row>
    <row r="269" spans="1:9" ht="20.25" customHeight="1">
      <c r="A269" s="24">
        <v>66100</v>
      </c>
      <c r="B269" s="483" t="s">
        <v>84</v>
      </c>
      <c r="C269" s="484"/>
      <c r="D269" s="25">
        <v>9063.6</v>
      </c>
      <c r="E269" s="25">
        <v>221000</v>
      </c>
      <c r="F269" s="25">
        <v>35870.27</v>
      </c>
      <c r="G269" s="26">
        <f t="shared" si="8"/>
        <v>3.9576183856304334</v>
      </c>
      <c r="H269" s="27">
        <f t="shared" si="9"/>
        <v>0.1623089140271493</v>
      </c>
      <c r="I269" s="16">
        <f>F269/F281</f>
        <v>0.011705240162602867</v>
      </c>
    </row>
    <row r="270" spans="1:9" ht="22.5" customHeight="1">
      <c r="A270" s="28"/>
      <c r="B270" s="499" t="s">
        <v>85</v>
      </c>
      <c r="C270" s="500"/>
      <c r="D270" s="29">
        <f>D271+D272+D273</f>
        <v>271239.63</v>
      </c>
      <c r="E270" s="30">
        <f>E271+E272+E273</f>
        <v>2526081</v>
      </c>
      <c r="F270" s="29">
        <f>F271+F272+F273</f>
        <v>587519.54</v>
      </c>
      <c r="G270" s="31">
        <f t="shared" si="8"/>
        <v>2.166053463500153</v>
      </c>
      <c r="H270" s="32">
        <f t="shared" si="9"/>
        <v>0.23258143345363827</v>
      </c>
      <c r="I270" s="33">
        <f>F270/F281</f>
        <v>0.1917202551283267</v>
      </c>
    </row>
    <row r="271" spans="1:9" ht="20.25" customHeight="1">
      <c r="A271" s="24">
        <v>73028</v>
      </c>
      <c r="B271" s="483" t="s">
        <v>86</v>
      </c>
      <c r="C271" s="484"/>
      <c r="D271" s="25">
        <v>4172.08</v>
      </c>
      <c r="E271" s="25">
        <v>41168</v>
      </c>
      <c r="F271" s="25">
        <v>4468.13</v>
      </c>
      <c r="G271" s="26">
        <f t="shared" si="8"/>
        <v>1.0709598090161263</v>
      </c>
      <c r="H271" s="27">
        <f t="shared" si="9"/>
        <v>0.1085340555771473</v>
      </c>
      <c r="I271" s="16">
        <f>F271/F270</f>
        <v>0.007605074718025549</v>
      </c>
    </row>
    <row r="272" spans="1:9" ht="20.25" customHeight="1">
      <c r="A272" s="24">
        <v>74100</v>
      </c>
      <c r="B272" s="483" t="s">
        <v>87</v>
      </c>
      <c r="C272" s="484"/>
      <c r="D272" s="25">
        <v>255591.82</v>
      </c>
      <c r="E272" s="25">
        <v>2315913</v>
      </c>
      <c r="F272" s="25">
        <v>543992.54</v>
      </c>
      <c r="G272" s="26">
        <f t="shared" si="8"/>
        <v>2.1283644367022387</v>
      </c>
      <c r="H272" s="27">
        <f t="shared" si="9"/>
        <v>0.2348933401211531</v>
      </c>
      <c r="I272" s="16">
        <f>F272/F270</f>
        <v>0.925913953432085</v>
      </c>
    </row>
    <row r="273" spans="1:9" ht="20.25" customHeight="1">
      <c r="A273" s="24">
        <v>75590</v>
      </c>
      <c r="B273" s="483" t="s">
        <v>88</v>
      </c>
      <c r="C273" s="484"/>
      <c r="D273" s="25">
        <v>11475.73</v>
      </c>
      <c r="E273" s="25">
        <v>169000</v>
      </c>
      <c r="F273" s="25">
        <v>39058.87</v>
      </c>
      <c r="G273" s="15">
        <f t="shared" si="8"/>
        <v>3.403606567948183</v>
      </c>
      <c r="H273" s="16">
        <f t="shared" si="9"/>
        <v>0.23111757396449706</v>
      </c>
      <c r="I273" s="16">
        <f>F273/F270</f>
        <v>0.06648097184988945</v>
      </c>
    </row>
    <row r="274" spans="1:9" ht="20.25" customHeight="1">
      <c r="A274" s="24">
        <v>76095</v>
      </c>
      <c r="B274" s="483" t="s">
        <v>89</v>
      </c>
      <c r="C274" s="484"/>
      <c r="D274" s="25">
        <v>0</v>
      </c>
      <c r="E274" s="25">
        <v>0</v>
      </c>
      <c r="F274" s="25">
        <v>0</v>
      </c>
      <c r="G274" s="15" t="e">
        <f t="shared" si="8"/>
        <v>#DIV/0!</v>
      </c>
      <c r="H274" s="16" t="e">
        <f t="shared" si="9"/>
        <v>#DIV/0!</v>
      </c>
      <c r="I274" s="16">
        <f>E274/E270</f>
        <v>0</v>
      </c>
    </row>
    <row r="275" spans="1:9" ht="20.25" customHeight="1">
      <c r="A275" s="24">
        <v>85019</v>
      </c>
      <c r="B275" s="483" t="s">
        <v>90</v>
      </c>
      <c r="C275" s="484"/>
      <c r="D275" s="25">
        <v>39702.78</v>
      </c>
      <c r="E275" s="25">
        <v>529300</v>
      </c>
      <c r="F275" s="25">
        <v>129517.64</v>
      </c>
      <c r="G275" s="26">
        <f t="shared" si="8"/>
        <v>3.262180633194955</v>
      </c>
      <c r="H275" s="27">
        <f t="shared" si="9"/>
        <v>0.24469608917438126</v>
      </c>
      <c r="I275" s="16">
        <f>F275/F281</f>
        <v>0.0422643900225323</v>
      </c>
    </row>
    <row r="276" spans="1:9" ht="22.5" customHeight="1">
      <c r="A276" s="28"/>
      <c r="B276" s="499" t="s">
        <v>91</v>
      </c>
      <c r="C276" s="500"/>
      <c r="D276" s="30">
        <f>D277+D278+D279+D280</f>
        <v>924624.7300000001</v>
      </c>
      <c r="E276" s="30">
        <f>E277+E278+E279+E280</f>
        <v>7839968</v>
      </c>
      <c r="F276" s="30">
        <f>F277+F278+F279+F280</f>
        <v>1420959.6999999997</v>
      </c>
      <c r="G276" s="31">
        <f t="shared" si="8"/>
        <v>1.5367961226821172</v>
      </c>
      <c r="H276" s="32">
        <f t="shared" si="9"/>
        <v>0.18124559947183455</v>
      </c>
      <c r="I276" s="33">
        <f>F276/F281</f>
        <v>0.4636896948330782</v>
      </c>
    </row>
    <row r="277" spans="1:9" ht="20.25" customHeight="1">
      <c r="A277" s="24">
        <v>92095</v>
      </c>
      <c r="B277" s="483" t="s">
        <v>86</v>
      </c>
      <c r="C277" s="484"/>
      <c r="D277" s="25">
        <v>12902.59</v>
      </c>
      <c r="E277" s="25">
        <v>551032.8</v>
      </c>
      <c r="F277" s="25">
        <v>147557.01</v>
      </c>
      <c r="G277" s="34">
        <f t="shared" si="8"/>
        <v>11.436231795321715</v>
      </c>
      <c r="H277" s="27">
        <f t="shared" si="9"/>
        <v>0.2677826256440633</v>
      </c>
      <c r="I277" s="16">
        <f>F277/F276</f>
        <v>0.10384320540547352</v>
      </c>
    </row>
    <row r="278" spans="1:9" ht="20.25" customHeight="1">
      <c r="A278" s="24">
        <v>92570</v>
      </c>
      <c r="B278" s="483" t="s">
        <v>92</v>
      </c>
      <c r="C278" s="484"/>
      <c r="D278" s="25">
        <v>42210.9</v>
      </c>
      <c r="E278" s="25">
        <v>316360</v>
      </c>
      <c r="F278" s="25">
        <v>56572.39</v>
      </c>
      <c r="G278" s="26">
        <f t="shared" si="8"/>
        <v>1.340231788471698</v>
      </c>
      <c r="H278" s="27">
        <f t="shared" si="9"/>
        <v>0.1788228284233152</v>
      </c>
      <c r="I278" s="16">
        <f>F278/F276</f>
        <v>0.03981280398029586</v>
      </c>
    </row>
    <row r="279" spans="1:9" ht="20.25" customHeight="1">
      <c r="A279" s="24">
        <v>93540</v>
      </c>
      <c r="B279" s="483" t="s">
        <v>93</v>
      </c>
      <c r="C279" s="484"/>
      <c r="D279" s="25">
        <f>572896.17+1971.27+134.56+220.84+427.58+269.34+2311.74+480.15+683.74+1203.49+316.72+550.72+1642.06+164.64+1802.87+1929.4+264.06+403.26+428.56+2104.79+703.83+366.36+283.08+1220.53+203.04+1294.23</f>
        <v>594277.0300000001</v>
      </c>
      <c r="E279" s="25">
        <v>4743006.48</v>
      </c>
      <c r="F279" s="25">
        <f>768425.97+6012.88+659.48+1305.11+2562.94+422.55+1652.75+3095.45+1747.25+5320.74+5212.95+1002.2+1660.6+1647.04+329.35+1443.31+4498.5+797.61+1854.35+1026.83+934.63+999.17+2146.12+3154.06+7950.9+1324.43+1152.58+2349.77+1515.98</f>
        <v>832205.4999999999</v>
      </c>
      <c r="G279" s="26">
        <f t="shared" si="8"/>
        <v>1.4003662567944106</v>
      </c>
      <c r="H279" s="27">
        <f t="shared" si="9"/>
        <v>0.1754594904116597</v>
      </c>
      <c r="I279" s="16">
        <f>F279/F276</f>
        <v>0.5856643928747592</v>
      </c>
    </row>
    <row r="280" spans="1:9" ht="20.25" customHeight="1">
      <c r="A280" s="24">
        <v>94740</v>
      </c>
      <c r="B280" s="483" t="s">
        <v>94</v>
      </c>
      <c r="C280" s="484"/>
      <c r="D280" s="25">
        <f>258164.25+4322.88+1653.54+1060.74+4712.6+5320.2</f>
        <v>275234.20999999996</v>
      </c>
      <c r="E280" s="25">
        <v>2229568.72</v>
      </c>
      <c r="F280" s="25">
        <f>360313.79+9583.17+3048.79+1928.72+5290.67+3230.22+1229.44</f>
        <v>384624.7999999999</v>
      </c>
      <c r="G280" s="26">
        <f t="shared" si="8"/>
        <v>1.3974454701688426</v>
      </c>
      <c r="H280" s="27">
        <f t="shared" si="9"/>
        <v>0.17251085223334128</v>
      </c>
      <c r="I280" s="16">
        <f>F280/F276</f>
        <v>0.27067959773947137</v>
      </c>
    </row>
    <row r="281" spans="1:9" ht="29.25" customHeight="1">
      <c r="A281" s="35"/>
      <c r="B281" s="495" t="s">
        <v>95</v>
      </c>
      <c r="C281" s="496"/>
      <c r="D281" s="36">
        <f>D256+D257+D258+D259+D260+D261+D262+D263+D264+D265+D266+D267+D268+D269+D270+D274+D275+D276</f>
        <v>1605716.9900000002</v>
      </c>
      <c r="E281" s="36">
        <f>E256+E257+E258+E259+E260+E261+E262+E263+E264+E265+E266+E267+E268+E269+E270+E274+E275+E276</f>
        <v>18184846</v>
      </c>
      <c r="F281" s="36">
        <f>F256+F257+F258+F259+F260+F261+F262+F263+F264+F265+F266+F267+F268+F269+F270+F274+F275+F276</f>
        <v>3064462.54</v>
      </c>
      <c r="G281" s="37">
        <f t="shared" si="8"/>
        <v>1.9084698979239172</v>
      </c>
      <c r="H281" s="38">
        <f t="shared" si="9"/>
        <v>0.16851737650129126</v>
      </c>
      <c r="I281" s="21">
        <f>SUM(I256+I257+I258+I259+I260+I261+I262+I263+I264+I265+I266+I267+I268+I269+I270+I275+I276)</f>
        <v>1</v>
      </c>
    </row>
    <row r="282" spans="1:9" ht="20.25" customHeight="1">
      <c r="A282" s="2"/>
      <c r="B282" s="2"/>
      <c r="C282" s="2"/>
      <c r="D282" s="2"/>
      <c r="E282" s="2"/>
      <c r="F282" s="2"/>
      <c r="G282" s="2"/>
      <c r="H282" s="175"/>
      <c r="I282" s="135"/>
    </row>
    <row r="283" spans="1:9" ht="20.25" customHeight="1">
      <c r="A283" s="503" t="s">
        <v>106</v>
      </c>
      <c r="B283" s="503"/>
      <c r="C283" s="503"/>
      <c r="D283" s="503"/>
      <c r="E283" s="503"/>
      <c r="F283" s="503"/>
      <c r="G283" s="503"/>
      <c r="H283" s="503"/>
      <c r="I283" s="503"/>
    </row>
    <row r="284" spans="1:9" ht="20.25" customHeight="1">
      <c r="A284" s="503" t="s">
        <v>107</v>
      </c>
      <c r="B284" s="503"/>
      <c r="C284" s="503"/>
      <c r="D284" s="503"/>
      <c r="E284" s="503"/>
      <c r="F284" s="503"/>
      <c r="G284" s="503"/>
      <c r="H284" s="503"/>
      <c r="I284" s="503"/>
    </row>
    <row r="285" spans="1:9" ht="20.25" customHeight="1">
      <c r="A285" s="486" t="s">
        <v>108</v>
      </c>
      <c r="B285" s="486"/>
      <c r="C285" s="486"/>
      <c r="D285" s="486"/>
      <c r="E285" s="486"/>
      <c r="F285" s="486"/>
      <c r="G285" s="486"/>
      <c r="H285" s="486"/>
      <c r="I285" s="486"/>
    </row>
    <row r="286" spans="1:9" ht="20.25" customHeight="1">
      <c r="A286" s="486" t="s">
        <v>109</v>
      </c>
      <c r="B286" s="486"/>
      <c r="C286" s="486"/>
      <c r="D286" s="486"/>
      <c r="E286" s="486"/>
      <c r="F286" s="486"/>
      <c r="G286" s="486"/>
      <c r="H286" s="486"/>
      <c r="I286" s="486"/>
    </row>
    <row r="287" spans="1:9" ht="20.25" customHeight="1">
      <c r="A287" s="486" t="s">
        <v>110</v>
      </c>
      <c r="B287" s="486"/>
      <c r="C287" s="486"/>
      <c r="D287" s="486"/>
      <c r="E287" s="486"/>
      <c r="F287" s="486"/>
      <c r="G287" s="486"/>
      <c r="H287" s="486"/>
      <c r="I287" s="486"/>
    </row>
    <row r="288" spans="1:9" ht="20.25" customHeight="1">
      <c r="A288" s="486" t="s">
        <v>111</v>
      </c>
      <c r="B288" s="486"/>
      <c r="C288" s="486"/>
      <c r="D288" s="486"/>
      <c r="E288" s="486"/>
      <c r="F288" s="486"/>
      <c r="G288" s="486"/>
      <c r="H288" s="486"/>
      <c r="I288" s="486"/>
    </row>
    <row r="289" spans="1:9" ht="20.25" customHeight="1">
      <c r="A289" s="486" t="s">
        <v>112</v>
      </c>
      <c r="B289" s="486"/>
      <c r="C289" s="486"/>
      <c r="D289" s="486"/>
      <c r="E289" s="486"/>
      <c r="F289" s="486"/>
      <c r="G289" s="486"/>
      <c r="H289" s="486"/>
      <c r="I289" s="486"/>
    </row>
    <row r="290" spans="1:9" ht="20.25" customHeight="1">
      <c r="A290" s="486" t="s">
        <v>113</v>
      </c>
      <c r="B290" s="486"/>
      <c r="C290" s="486"/>
      <c r="D290" s="486"/>
      <c r="E290" s="486"/>
      <c r="F290" s="486"/>
      <c r="G290" s="486"/>
      <c r="H290" s="486"/>
      <c r="I290" s="486"/>
    </row>
    <row r="291" spans="1:9" ht="20.25" customHeight="1">
      <c r="A291" s="41"/>
      <c r="B291" s="41"/>
      <c r="C291" s="41"/>
      <c r="D291" s="41"/>
      <c r="E291" s="41"/>
      <c r="F291" s="41"/>
      <c r="G291" s="41"/>
      <c r="H291" s="41"/>
      <c r="I291" s="41"/>
    </row>
    <row r="292" spans="1:9" ht="20.25" customHeight="1">
      <c r="A292" s="40"/>
      <c r="B292" s="40"/>
      <c r="D292" s="487" t="s">
        <v>682</v>
      </c>
      <c r="E292" s="487"/>
      <c r="F292" s="487"/>
      <c r="G292" s="40"/>
      <c r="H292" s="40"/>
      <c r="I292" s="135"/>
    </row>
    <row r="293" spans="1:9" ht="20.25" customHeight="1">
      <c r="A293" s="40"/>
      <c r="B293" s="40"/>
      <c r="C293" s="40"/>
      <c r="D293" s="40"/>
      <c r="E293" s="40"/>
      <c r="F293" s="40"/>
      <c r="G293" s="40"/>
      <c r="H293" s="40"/>
      <c r="I293" s="135"/>
    </row>
    <row r="294" spans="1:9" ht="20.25" customHeight="1">
      <c r="A294" s="22" t="s">
        <v>683</v>
      </c>
      <c r="B294" s="491" t="s">
        <v>688</v>
      </c>
      <c r="C294" s="492"/>
      <c r="D294" s="5" t="s">
        <v>686</v>
      </c>
      <c r="E294" s="5" t="s">
        <v>712</v>
      </c>
      <c r="F294" s="5" t="s">
        <v>686</v>
      </c>
      <c r="G294" s="192" t="s">
        <v>713</v>
      </c>
      <c r="H294" s="193"/>
      <c r="I294" s="6" t="s">
        <v>714</v>
      </c>
    </row>
    <row r="295" spans="1:9" ht="20.25" customHeight="1">
      <c r="A295" s="23" t="s">
        <v>97</v>
      </c>
      <c r="B295" s="493"/>
      <c r="C295" s="494"/>
      <c r="D295" s="7" t="s">
        <v>708</v>
      </c>
      <c r="E295" s="7" t="s">
        <v>715</v>
      </c>
      <c r="F295" s="7" t="s">
        <v>716</v>
      </c>
      <c r="G295" s="8" t="s">
        <v>706</v>
      </c>
      <c r="H295" s="9" t="s">
        <v>707</v>
      </c>
      <c r="I295" s="10" t="s">
        <v>717</v>
      </c>
    </row>
    <row r="296" spans="1:9" ht="20.25" customHeight="1">
      <c r="A296" s="13">
        <v>1</v>
      </c>
      <c r="B296" s="501">
        <v>2</v>
      </c>
      <c r="C296" s="502"/>
      <c r="D296" s="12">
        <v>3</v>
      </c>
      <c r="E296" s="12">
        <v>4</v>
      </c>
      <c r="F296" s="12">
        <v>5</v>
      </c>
      <c r="G296" s="12">
        <v>6</v>
      </c>
      <c r="H296" s="12">
        <v>7</v>
      </c>
      <c r="I296" s="13">
        <v>8</v>
      </c>
    </row>
    <row r="297" spans="1:9" ht="20.25" customHeight="1">
      <c r="A297" s="4">
        <v>111</v>
      </c>
      <c r="B297" s="504" t="s">
        <v>540</v>
      </c>
      <c r="C297" s="505"/>
      <c r="D297" s="25">
        <v>1296055.35</v>
      </c>
      <c r="E297" s="25">
        <f>10163622+120234</f>
        <v>10283856</v>
      </c>
      <c r="F297" s="25">
        <v>1732007.76</v>
      </c>
      <c r="G297" s="26">
        <f aca="true" t="shared" si="10" ref="G297:G302">F297/D297</f>
        <v>1.3363686666622687</v>
      </c>
      <c r="H297" s="27">
        <f aca="true" t="shared" si="11" ref="H297:H302">F297/E297</f>
        <v>0.16842007122620153</v>
      </c>
      <c r="I297" s="27">
        <f>F297/F302</f>
        <v>0.5651913630505662</v>
      </c>
    </row>
    <row r="298" spans="1:9" ht="20.25" customHeight="1">
      <c r="A298" s="4">
        <v>130</v>
      </c>
      <c r="B298" s="504" t="s">
        <v>541</v>
      </c>
      <c r="C298" s="505"/>
      <c r="D298" s="25">
        <v>159958.18</v>
      </c>
      <c r="E298" s="25">
        <f>1798812+123708</f>
        <v>1922520</v>
      </c>
      <c r="F298" s="25">
        <v>820064.78</v>
      </c>
      <c r="G298" s="26">
        <f t="shared" si="10"/>
        <v>5.126744877942473</v>
      </c>
      <c r="H298" s="27">
        <f t="shared" si="11"/>
        <v>0.4265572165699187</v>
      </c>
      <c r="I298" s="27">
        <f>F298/F302</f>
        <v>0.26760476569571645</v>
      </c>
    </row>
    <row r="299" spans="1:9" ht="20.25" customHeight="1">
      <c r="A299" s="4">
        <v>132</v>
      </c>
      <c r="B299" s="504" t="s">
        <v>542</v>
      </c>
      <c r="C299" s="505"/>
      <c r="D299" s="25">
        <v>109448.46</v>
      </c>
      <c r="E299" s="25">
        <v>532800</v>
      </c>
      <c r="F299" s="25">
        <v>160701.02</v>
      </c>
      <c r="G299" s="26">
        <f t="shared" si="10"/>
        <v>1.4682803211666933</v>
      </c>
      <c r="H299" s="27">
        <f t="shared" si="11"/>
        <v>0.30161602852852853</v>
      </c>
      <c r="I299" s="27">
        <f>F299/F302</f>
        <v>0.05244019722949525</v>
      </c>
    </row>
    <row r="300" spans="1:9" ht="20.25" customHeight="1">
      <c r="A300" s="4">
        <v>200</v>
      </c>
      <c r="B300" s="507" t="s">
        <v>543</v>
      </c>
      <c r="C300" s="508"/>
      <c r="D300" s="25">
        <f>20715+4200</f>
        <v>24915</v>
      </c>
      <c r="E300" s="25">
        <v>284000</v>
      </c>
      <c r="F300" s="25">
        <v>162230</v>
      </c>
      <c r="G300" s="26">
        <f t="shared" si="10"/>
        <v>6.51133855107365</v>
      </c>
      <c r="H300" s="27">
        <f t="shared" si="11"/>
        <v>0.5712323943661972</v>
      </c>
      <c r="I300" s="27">
        <f>F300/F302</f>
        <v>0.052939136270205474</v>
      </c>
    </row>
    <row r="301" spans="1:9" ht="20.25" customHeight="1">
      <c r="A301" s="4">
        <v>300</v>
      </c>
      <c r="B301" s="504" t="s">
        <v>544</v>
      </c>
      <c r="C301" s="505"/>
      <c r="D301" s="25">
        <v>15340</v>
      </c>
      <c r="E301" s="25">
        <f>3054692+2106978</f>
        <v>5161670</v>
      </c>
      <c r="F301" s="25">
        <v>189458.98</v>
      </c>
      <c r="G301" s="48">
        <f t="shared" si="10"/>
        <v>12.350650586701434</v>
      </c>
      <c r="H301" s="27">
        <f t="shared" si="11"/>
        <v>0.03670497726510994</v>
      </c>
      <c r="I301" s="27">
        <f>F301/F302</f>
        <v>0.06182453775401673</v>
      </c>
    </row>
    <row r="302" spans="1:9" ht="30" customHeight="1">
      <c r="A302" s="17"/>
      <c r="B302" s="583" t="s">
        <v>95</v>
      </c>
      <c r="C302" s="584"/>
      <c r="D302" s="36">
        <f>D297+D298+D299+D300+D301</f>
        <v>1605716.99</v>
      </c>
      <c r="E302" s="36">
        <f>E297+E298+E299+E300+E301</f>
        <v>18184846</v>
      </c>
      <c r="F302" s="36">
        <f>F297+F298+F299+F300+F301</f>
        <v>3064462.54</v>
      </c>
      <c r="G302" s="37">
        <f t="shared" si="10"/>
        <v>1.9084698979239174</v>
      </c>
      <c r="H302" s="38">
        <f t="shared" si="11"/>
        <v>0.16851737650129126</v>
      </c>
      <c r="I302" s="38">
        <f>SUM(I297:I301)</f>
        <v>1</v>
      </c>
    </row>
    <row r="303" spans="1:9" ht="20.25" customHeight="1">
      <c r="A303" s="49"/>
      <c r="B303" s="49"/>
      <c r="C303" s="49"/>
      <c r="D303" s="49"/>
      <c r="E303" s="208"/>
      <c r="F303" s="49"/>
      <c r="G303" s="49"/>
      <c r="H303" s="40"/>
      <c r="I303" s="135"/>
    </row>
    <row r="304" spans="1:9" ht="20.25" customHeight="1">
      <c r="A304" s="503" t="s">
        <v>588</v>
      </c>
      <c r="B304" s="503"/>
      <c r="C304" s="503"/>
      <c r="D304" s="503"/>
      <c r="E304" s="503"/>
      <c r="F304" s="503"/>
      <c r="G304" s="503"/>
      <c r="H304" s="503"/>
      <c r="I304" s="503"/>
    </row>
    <row r="305" spans="1:9" ht="20.25" customHeight="1">
      <c r="A305" s="486" t="s">
        <v>592</v>
      </c>
      <c r="B305" s="486"/>
      <c r="C305" s="486"/>
      <c r="D305" s="486"/>
      <c r="E305" s="486"/>
      <c r="F305" s="486"/>
      <c r="G305" s="486"/>
      <c r="H305" s="486"/>
      <c r="I305" s="486"/>
    </row>
    <row r="306" spans="1:9" ht="20.25" customHeight="1">
      <c r="A306" s="486" t="s">
        <v>589</v>
      </c>
      <c r="B306" s="486"/>
      <c r="C306" s="486"/>
      <c r="D306" s="486"/>
      <c r="E306" s="486"/>
      <c r="F306" s="486"/>
      <c r="G306" s="486"/>
      <c r="H306" s="486"/>
      <c r="I306" s="486"/>
    </row>
    <row r="307" spans="1:9" ht="20.25" customHeight="1">
      <c r="A307" s="486" t="s">
        <v>591</v>
      </c>
      <c r="B307" s="486"/>
      <c r="C307" s="486"/>
      <c r="D307" s="486"/>
      <c r="E307" s="486"/>
      <c r="F307" s="486"/>
      <c r="G307" s="486"/>
      <c r="H307" s="486"/>
      <c r="I307" s="486"/>
    </row>
    <row r="308" spans="1:9" ht="20.25" customHeight="1">
      <c r="A308" s="486" t="s">
        <v>515</v>
      </c>
      <c r="B308" s="486"/>
      <c r="C308" s="486"/>
      <c r="D308" s="486"/>
      <c r="E308" s="486"/>
      <c r="F308" s="486"/>
      <c r="G308" s="486"/>
      <c r="H308" s="486"/>
      <c r="I308" s="486"/>
    </row>
    <row r="309" spans="1:9" ht="20.25" customHeight="1">
      <c r="A309" s="486" t="s">
        <v>516</v>
      </c>
      <c r="B309" s="486"/>
      <c r="C309" s="486"/>
      <c r="D309" s="486"/>
      <c r="E309" s="486"/>
      <c r="F309" s="486"/>
      <c r="G309" s="486"/>
      <c r="H309" s="486"/>
      <c r="I309" s="486"/>
    </row>
    <row r="310" spans="1:9" ht="20.25" customHeight="1">
      <c r="A310" s="39"/>
      <c r="B310" s="39"/>
      <c r="C310" s="39"/>
      <c r="D310" s="39"/>
      <c r="E310" s="39"/>
      <c r="F310" s="39"/>
      <c r="G310" s="39"/>
      <c r="H310" s="39"/>
      <c r="I310" s="82">
        <v>4</v>
      </c>
    </row>
    <row r="311" spans="1:9" ht="20.25" customHeight="1">
      <c r="A311" s="39"/>
      <c r="B311" s="39"/>
      <c r="C311" s="39"/>
      <c r="D311" s="39"/>
      <c r="E311" s="39"/>
      <c r="F311" s="39"/>
      <c r="G311" s="39"/>
      <c r="H311" s="39"/>
      <c r="I311" s="39"/>
    </row>
    <row r="312" spans="1:9" ht="20.25" customHeight="1">
      <c r="A312" s="486" t="s">
        <v>517</v>
      </c>
      <c r="B312" s="486"/>
      <c r="C312" s="486"/>
      <c r="D312" s="486"/>
      <c r="E312" s="486"/>
      <c r="F312" s="486"/>
      <c r="G312" s="486"/>
      <c r="H312" s="486"/>
      <c r="I312" s="486"/>
    </row>
    <row r="313" spans="1:9" ht="20.25" customHeight="1">
      <c r="A313" s="486" t="s">
        <v>518</v>
      </c>
      <c r="B313" s="486"/>
      <c r="C313" s="486"/>
      <c r="D313" s="486"/>
      <c r="E313" s="486"/>
      <c r="F313" s="486"/>
      <c r="G313" s="486"/>
      <c r="H313" s="486"/>
      <c r="I313" s="486"/>
    </row>
    <row r="314" spans="1:9" ht="20.25" customHeight="1">
      <c r="A314" s="486" t="s">
        <v>519</v>
      </c>
      <c r="B314" s="486"/>
      <c r="C314" s="486"/>
      <c r="D314" s="486"/>
      <c r="E314" s="486"/>
      <c r="F314" s="486"/>
      <c r="G314" s="486"/>
      <c r="H314" s="486"/>
      <c r="I314" s="486"/>
    </row>
    <row r="315" spans="1:9" ht="20.25" customHeight="1">
      <c r="A315" s="486" t="s">
        <v>520</v>
      </c>
      <c r="B315" s="486"/>
      <c r="C315" s="486"/>
      <c r="D315" s="486"/>
      <c r="E315" s="486"/>
      <c r="F315" s="486"/>
      <c r="G315" s="486"/>
      <c r="H315" s="486"/>
      <c r="I315" s="486"/>
    </row>
    <row r="316" spans="1:9" ht="20.25" customHeight="1">
      <c r="A316" s="486" t="s">
        <v>521</v>
      </c>
      <c r="B316" s="486"/>
      <c r="C316" s="486"/>
      <c r="D316" s="486"/>
      <c r="E316" s="486"/>
      <c r="F316" s="486"/>
      <c r="G316" s="486"/>
      <c r="H316" s="486"/>
      <c r="I316" s="486"/>
    </row>
    <row r="317" spans="1:9" ht="20.25" customHeight="1">
      <c r="A317" s="506" t="s">
        <v>522</v>
      </c>
      <c r="B317" s="506"/>
      <c r="C317" s="506"/>
      <c r="D317" s="506"/>
      <c r="E317" s="506"/>
      <c r="F317" s="506"/>
      <c r="G317" s="506"/>
      <c r="H317" s="506"/>
      <c r="I317" s="506"/>
    </row>
    <row r="318" spans="1:9" ht="20.25" customHeight="1">
      <c r="A318" s="486" t="s">
        <v>399</v>
      </c>
      <c r="B318" s="486"/>
      <c r="C318" s="486"/>
      <c r="D318" s="486"/>
      <c r="E318" s="486"/>
      <c r="F318" s="486"/>
      <c r="G318" s="486"/>
      <c r="H318" s="486"/>
      <c r="I318" s="486"/>
    </row>
    <row r="319" spans="1:9" ht="20.25" customHeight="1">
      <c r="A319" s="486" t="s">
        <v>400</v>
      </c>
      <c r="B319" s="486"/>
      <c r="C319" s="486"/>
      <c r="D319" s="486"/>
      <c r="E319" s="486"/>
      <c r="F319" s="486"/>
      <c r="G319" s="486"/>
      <c r="H319" s="486"/>
      <c r="I319" s="486"/>
    </row>
    <row r="320" spans="1:9" ht="20.25" customHeight="1">
      <c r="A320" s="486" t="s">
        <v>545</v>
      </c>
      <c r="B320" s="486"/>
      <c r="C320" s="486"/>
      <c r="D320" s="486"/>
      <c r="E320" s="486"/>
      <c r="F320" s="486"/>
      <c r="G320" s="486"/>
      <c r="H320" s="486"/>
      <c r="I320" s="486"/>
    </row>
    <row r="321" spans="1:9" ht="20.25" customHeight="1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20.25" customHeight="1">
      <c r="A322" s="39"/>
      <c r="B322" s="39"/>
      <c r="C322" s="39"/>
      <c r="D322" s="39"/>
      <c r="E322" s="39"/>
      <c r="F322" s="39"/>
      <c r="G322" s="39"/>
      <c r="H322" s="39"/>
      <c r="I322" s="135"/>
    </row>
    <row r="323" spans="1:9" ht="30" customHeight="1">
      <c r="A323" s="40"/>
      <c r="B323" s="485" t="s">
        <v>546</v>
      </c>
      <c r="C323" s="485"/>
      <c r="D323" s="40"/>
      <c r="E323" s="40"/>
      <c r="F323" s="40"/>
      <c r="G323" s="40"/>
      <c r="H323" s="40"/>
      <c r="I323" s="135"/>
    </row>
    <row r="324" spans="1:9" ht="20.25" customHeight="1">
      <c r="A324" s="40"/>
      <c r="B324" s="40"/>
      <c r="C324" s="40"/>
      <c r="D324" s="40"/>
      <c r="E324" s="40"/>
      <c r="F324" s="40"/>
      <c r="G324" s="40"/>
      <c r="H324" s="40"/>
      <c r="I324" s="135"/>
    </row>
    <row r="325" spans="1:9" ht="20.25" customHeight="1">
      <c r="A325" s="39"/>
      <c r="B325" s="39"/>
      <c r="C325" s="39"/>
      <c r="D325" s="39"/>
      <c r="E325" s="39"/>
      <c r="F325" s="39"/>
      <c r="G325" s="39"/>
      <c r="H325" s="39"/>
      <c r="I325" s="138"/>
    </row>
    <row r="326" spans="1:9" ht="20.25" customHeight="1">
      <c r="A326" s="486" t="s">
        <v>401</v>
      </c>
      <c r="B326" s="486"/>
      <c r="C326" s="486"/>
      <c r="D326" s="486"/>
      <c r="E326" s="486"/>
      <c r="F326" s="486"/>
      <c r="G326" s="486"/>
      <c r="H326" s="486"/>
      <c r="I326" s="486"/>
    </row>
    <row r="327" spans="1:9" ht="20.25" customHeight="1">
      <c r="A327" s="486" t="s">
        <v>402</v>
      </c>
      <c r="B327" s="486"/>
      <c r="C327" s="486"/>
      <c r="D327" s="486"/>
      <c r="E327" s="486"/>
      <c r="F327" s="486"/>
      <c r="G327" s="486"/>
      <c r="H327" s="486"/>
      <c r="I327" s="486"/>
    </row>
    <row r="328" spans="1:9" ht="20.25" customHeight="1">
      <c r="A328" s="486" t="s">
        <v>403</v>
      </c>
      <c r="B328" s="486"/>
      <c r="C328" s="486"/>
      <c r="D328" s="486"/>
      <c r="E328" s="486"/>
      <c r="F328" s="486"/>
      <c r="G328" s="486"/>
      <c r="H328" s="486"/>
      <c r="I328" s="486"/>
    </row>
    <row r="329" spans="1:9" ht="20.25" customHeight="1">
      <c r="A329" s="486" t="s">
        <v>404</v>
      </c>
      <c r="B329" s="486"/>
      <c r="C329" s="486"/>
      <c r="D329" s="486"/>
      <c r="E329" s="486"/>
      <c r="F329" s="486"/>
      <c r="G329" s="486"/>
      <c r="H329" s="486"/>
      <c r="I329" s="486"/>
    </row>
    <row r="330" spans="1:9" ht="20.25" customHeight="1">
      <c r="A330" s="41"/>
      <c r="B330" s="41"/>
      <c r="C330" s="41"/>
      <c r="D330" s="41"/>
      <c r="E330" s="41"/>
      <c r="F330" s="41"/>
      <c r="G330" s="41"/>
      <c r="H330" s="40"/>
      <c r="I330" s="135"/>
    </row>
    <row r="331" spans="1:9" ht="20.25" customHeight="1">
      <c r="A331" s="41"/>
      <c r="B331" s="41"/>
      <c r="C331" s="41"/>
      <c r="D331" s="487" t="s">
        <v>682</v>
      </c>
      <c r="E331" s="487"/>
      <c r="F331" s="487"/>
      <c r="G331" s="41"/>
      <c r="H331" s="40"/>
      <c r="I331" s="135"/>
    </row>
    <row r="332" spans="1:9" ht="20.25" customHeight="1">
      <c r="A332" s="40"/>
      <c r="B332" s="40"/>
      <c r="C332" s="40"/>
      <c r="D332" s="40"/>
      <c r="E332" s="40"/>
      <c r="F332" s="40"/>
      <c r="G332" s="40"/>
      <c r="H332" s="40"/>
      <c r="I332" s="135"/>
    </row>
    <row r="333" spans="1:9" ht="20.25" customHeight="1">
      <c r="A333" s="489" t="s">
        <v>710</v>
      </c>
      <c r="B333" s="491" t="s">
        <v>711</v>
      </c>
      <c r="C333" s="492"/>
      <c r="D333" s="5" t="s">
        <v>686</v>
      </c>
      <c r="E333" s="5" t="s">
        <v>712</v>
      </c>
      <c r="F333" s="5" t="s">
        <v>686</v>
      </c>
      <c r="G333" s="192" t="s">
        <v>713</v>
      </c>
      <c r="H333" s="193"/>
      <c r="I333" s="6" t="s">
        <v>714</v>
      </c>
    </row>
    <row r="334" spans="1:9" ht="20.25" customHeight="1">
      <c r="A334" s="490"/>
      <c r="B334" s="493"/>
      <c r="C334" s="494"/>
      <c r="D334" s="7" t="s">
        <v>708</v>
      </c>
      <c r="E334" s="7" t="s">
        <v>715</v>
      </c>
      <c r="F334" s="7" t="s">
        <v>716</v>
      </c>
      <c r="G334" s="8" t="s">
        <v>706</v>
      </c>
      <c r="H334" s="9" t="s">
        <v>707</v>
      </c>
      <c r="I334" s="10" t="s">
        <v>717</v>
      </c>
    </row>
    <row r="335" spans="1:9" ht="20.25" customHeight="1">
      <c r="A335" s="11">
        <v>1</v>
      </c>
      <c r="B335" s="535">
        <v>2</v>
      </c>
      <c r="C335" s="536"/>
      <c r="D335" s="12">
        <v>3</v>
      </c>
      <c r="E335" s="12">
        <v>4</v>
      </c>
      <c r="F335" s="12">
        <v>5</v>
      </c>
      <c r="G335" s="12">
        <v>6</v>
      </c>
      <c r="H335" s="12">
        <v>7</v>
      </c>
      <c r="I335" s="13">
        <v>8</v>
      </c>
    </row>
    <row r="336" spans="1:9" ht="20.25" customHeight="1">
      <c r="A336" s="4">
        <v>10</v>
      </c>
      <c r="B336" s="504" t="s">
        <v>547</v>
      </c>
      <c r="C336" s="505"/>
      <c r="D336" s="25">
        <v>1294993.05</v>
      </c>
      <c r="E336" s="25">
        <v>10163622</v>
      </c>
      <c r="F336" s="25">
        <f>1457639.88+6757.96+67693.8+82142.35+82142.35</f>
        <v>1696376.34</v>
      </c>
      <c r="G336" s="15">
        <f aca="true" t="shared" si="12" ref="G336:G341">F336/D336</f>
        <v>1.309950149925515</v>
      </c>
      <c r="H336" s="15">
        <f aca="true" t="shared" si="13" ref="H336:H341">F336/E336</f>
        <v>0.16690667362481604</v>
      </c>
      <c r="I336" s="16">
        <f>F336/F341</f>
        <v>0.9794276787766817</v>
      </c>
    </row>
    <row r="337" spans="1:9" ht="20.25" customHeight="1">
      <c r="A337" s="4">
        <v>21</v>
      </c>
      <c r="B337" s="504" t="s">
        <v>719</v>
      </c>
      <c r="C337" s="505"/>
      <c r="D337" s="25">
        <v>0</v>
      </c>
      <c r="E337" s="25">
        <v>120234</v>
      </c>
      <c r="F337" s="25">
        <f>21849.99</f>
        <v>21849.99</v>
      </c>
      <c r="G337" s="15" t="e">
        <f t="shared" si="12"/>
        <v>#DIV/0!</v>
      </c>
      <c r="H337" s="15">
        <f t="shared" si="13"/>
        <v>0.1817288786865612</v>
      </c>
      <c r="I337" s="16">
        <f>F337/F341</f>
        <v>0.012615411145732974</v>
      </c>
    </row>
    <row r="338" spans="1:9" ht="20.25" customHeight="1">
      <c r="A338" s="4">
        <v>22</v>
      </c>
      <c r="B338" s="504" t="s">
        <v>720</v>
      </c>
      <c r="C338" s="505"/>
      <c r="D338" s="25">
        <v>0</v>
      </c>
      <c r="E338" s="25">
        <v>0</v>
      </c>
      <c r="F338" s="25">
        <v>7291.43</v>
      </c>
      <c r="G338" s="15" t="e">
        <f t="shared" si="12"/>
        <v>#DIV/0!</v>
      </c>
      <c r="H338" s="50" t="e">
        <f t="shared" si="13"/>
        <v>#DIV/0!</v>
      </c>
      <c r="I338" s="16">
        <f>F338/F341</f>
        <v>0.004209813701989419</v>
      </c>
    </row>
    <row r="339" spans="1:9" ht="20.25" customHeight="1">
      <c r="A339" s="4">
        <v>31</v>
      </c>
      <c r="B339" s="504" t="s">
        <v>66</v>
      </c>
      <c r="C339" s="505"/>
      <c r="D339" s="25">
        <v>0</v>
      </c>
      <c r="E339" s="25">
        <v>0</v>
      </c>
      <c r="F339" s="25">
        <v>0</v>
      </c>
      <c r="G339" s="15" t="e">
        <f t="shared" si="12"/>
        <v>#DIV/0!</v>
      </c>
      <c r="H339" s="50" t="e">
        <f t="shared" si="13"/>
        <v>#DIV/0!</v>
      </c>
      <c r="I339" s="16">
        <f>F339/F341</f>
        <v>0</v>
      </c>
    </row>
    <row r="340" spans="1:9" ht="20.25" customHeight="1">
      <c r="A340" s="4"/>
      <c r="B340" s="504" t="s">
        <v>548</v>
      </c>
      <c r="C340" s="505"/>
      <c r="D340" s="25">
        <v>1062.3</v>
      </c>
      <c r="E340" s="25">
        <v>0</v>
      </c>
      <c r="F340" s="25">
        <f>5514.1+326.9+324.5+324.5</f>
        <v>6490</v>
      </c>
      <c r="G340" s="15">
        <f t="shared" si="12"/>
        <v>6.109385296055728</v>
      </c>
      <c r="H340" s="50" t="e">
        <f t="shared" si="13"/>
        <v>#DIV/0!</v>
      </c>
      <c r="I340" s="16">
        <f>F340/F341</f>
        <v>0.003747096375595915</v>
      </c>
    </row>
    <row r="341" spans="1:9" ht="30" customHeight="1">
      <c r="A341" s="11"/>
      <c r="B341" s="548" t="s">
        <v>69</v>
      </c>
      <c r="C341" s="549"/>
      <c r="D341" s="36">
        <f>D336+D337+D338+D340</f>
        <v>1296055.35</v>
      </c>
      <c r="E341" s="36">
        <f>E336+E337+E338+E340</f>
        <v>10283856</v>
      </c>
      <c r="F341" s="36">
        <f>F336+F337+F338+F340</f>
        <v>1732007.76</v>
      </c>
      <c r="G341" s="38">
        <f t="shared" si="12"/>
        <v>1.3363686666622687</v>
      </c>
      <c r="H341" s="38">
        <f t="shared" si="13"/>
        <v>0.16842007122620153</v>
      </c>
      <c r="I341" s="21">
        <f>SUM(I336:I340)</f>
        <v>1</v>
      </c>
    </row>
    <row r="342" spans="1:9" ht="20.25" customHeight="1">
      <c r="A342" s="39"/>
      <c r="B342" s="39"/>
      <c r="C342" s="39"/>
      <c r="D342" s="39"/>
      <c r="E342" s="39"/>
      <c r="F342" s="39"/>
      <c r="G342" s="39"/>
      <c r="H342" s="39"/>
      <c r="I342" s="135"/>
    </row>
    <row r="343" spans="1:9" ht="20.25" customHeight="1">
      <c r="A343" s="486" t="s">
        <v>405</v>
      </c>
      <c r="B343" s="486"/>
      <c r="C343" s="486"/>
      <c r="D343" s="486"/>
      <c r="E343" s="486"/>
      <c r="F343" s="486"/>
      <c r="G343" s="486"/>
      <c r="H343" s="486"/>
      <c r="I343" s="486"/>
    </row>
    <row r="344" spans="1:9" ht="20.25" customHeight="1">
      <c r="A344" s="486" t="s">
        <v>406</v>
      </c>
      <c r="B344" s="486"/>
      <c r="C344" s="486"/>
      <c r="D344" s="486"/>
      <c r="E344" s="486"/>
      <c r="F344" s="486"/>
      <c r="G344" s="486"/>
      <c r="H344" s="486"/>
      <c r="I344" s="486"/>
    </row>
    <row r="345" spans="1:9" ht="20.25" customHeight="1">
      <c r="A345" s="486" t="s">
        <v>411</v>
      </c>
      <c r="B345" s="486"/>
      <c r="C345" s="486"/>
      <c r="D345" s="486"/>
      <c r="E345" s="486"/>
      <c r="F345" s="486"/>
      <c r="G345" s="486"/>
      <c r="H345" s="486"/>
      <c r="I345" s="486"/>
    </row>
    <row r="346" spans="1:9" ht="20.25" customHeight="1">
      <c r="A346" s="503" t="s">
        <v>407</v>
      </c>
      <c r="B346" s="503"/>
      <c r="C346" s="503"/>
      <c r="D346" s="503"/>
      <c r="E346" s="503"/>
      <c r="F346" s="503"/>
      <c r="G346" s="503"/>
      <c r="H346" s="503"/>
      <c r="I346" s="503"/>
    </row>
    <row r="347" spans="1:9" ht="20.25" customHeight="1">
      <c r="A347" s="503" t="s">
        <v>408</v>
      </c>
      <c r="B347" s="503"/>
      <c r="C347" s="503"/>
      <c r="D347" s="503"/>
      <c r="E347" s="503"/>
      <c r="F347" s="503"/>
      <c r="G347" s="503"/>
      <c r="H347" s="503"/>
      <c r="I347" s="503"/>
    </row>
    <row r="348" spans="1:9" ht="20.25" customHeight="1">
      <c r="A348" s="503" t="s">
        <v>409</v>
      </c>
      <c r="B348" s="503"/>
      <c r="C348" s="503"/>
      <c r="D348" s="503"/>
      <c r="E348" s="503"/>
      <c r="F348" s="503"/>
      <c r="G348" s="503"/>
      <c r="H348" s="503"/>
      <c r="I348" s="503"/>
    </row>
    <row r="349" spans="1:9" ht="20.25" customHeight="1">
      <c r="A349" s="503" t="s">
        <v>410</v>
      </c>
      <c r="B349" s="503"/>
      <c r="C349" s="503"/>
      <c r="D349" s="503"/>
      <c r="E349" s="503"/>
      <c r="F349" s="503"/>
      <c r="G349" s="503"/>
      <c r="H349" s="503"/>
      <c r="I349" s="503"/>
    </row>
    <row r="350" spans="1:9" ht="20.25" customHeight="1">
      <c r="A350" s="39"/>
      <c r="B350" s="39"/>
      <c r="C350" s="39"/>
      <c r="D350" s="39"/>
      <c r="E350" s="39"/>
      <c r="F350" s="39"/>
      <c r="G350" s="39"/>
      <c r="H350" s="39"/>
      <c r="I350" s="138"/>
    </row>
    <row r="351" spans="1:9" ht="20.25" customHeight="1">
      <c r="A351" s="2"/>
      <c r="B351" s="2"/>
      <c r="C351" s="2" t="s">
        <v>549</v>
      </c>
      <c r="D351" s="488" t="s">
        <v>550</v>
      </c>
      <c r="E351" s="488"/>
      <c r="F351" s="488"/>
      <c r="G351" s="2"/>
      <c r="H351" s="51"/>
      <c r="I351" s="135"/>
    </row>
    <row r="352" spans="1:9" ht="20.25" customHeight="1">
      <c r="A352" s="52"/>
      <c r="B352" s="52"/>
      <c r="C352" s="52"/>
      <c r="D352" s="52"/>
      <c r="E352" s="52"/>
      <c r="F352" s="52"/>
      <c r="G352" s="52"/>
      <c r="H352" s="51"/>
      <c r="I352" s="135"/>
    </row>
    <row r="353" spans="1:9" ht="20.25" customHeight="1">
      <c r="A353" s="42" t="s">
        <v>96</v>
      </c>
      <c r="B353" s="539" t="s">
        <v>688</v>
      </c>
      <c r="C353" s="540"/>
      <c r="D353" s="43" t="s">
        <v>686</v>
      </c>
      <c r="E353" s="43" t="s">
        <v>712</v>
      </c>
      <c r="F353" s="43" t="s">
        <v>686</v>
      </c>
      <c r="G353" s="192" t="s">
        <v>713</v>
      </c>
      <c r="H353" s="193"/>
      <c r="I353" s="6" t="s">
        <v>714</v>
      </c>
    </row>
    <row r="354" spans="1:9" ht="20.25" customHeight="1">
      <c r="A354" s="44" t="s">
        <v>97</v>
      </c>
      <c r="B354" s="541"/>
      <c r="C354" s="542"/>
      <c r="D354" s="45" t="s">
        <v>708</v>
      </c>
      <c r="E354" s="45" t="s">
        <v>715</v>
      </c>
      <c r="F354" s="45" t="s">
        <v>716</v>
      </c>
      <c r="G354" s="46" t="s">
        <v>706</v>
      </c>
      <c r="H354" s="46" t="s">
        <v>707</v>
      </c>
      <c r="I354" s="10" t="s">
        <v>717</v>
      </c>
    </row>
    <row r="355" spans="1:9" ht="20.25" customHeight="1">
      <c r="A355" s="28">
        <v>1</v>
      </c>
      <c r="B355" s="537">
        <v>2</v>
      </c>
      <c r="C355" s="538"/>
      <c r="D355" s="11">
        <v>3</v>
      </c>
      <c r="E355" s="11">
        <v>4</v>
      </c>
      <c r="F355" s="11">
        <v>5</v>
      </c>
      <c r="G355" s="11">
        <v>6</v>
      </c>
      <c r="H355" s="47">
        <v>7</v>
      </c>
      <c r="I355" s="28">
        <v>8</v>
      </c>
    </row>
    <row r="356" spans="1:9" ht="20.25" customHeight="1">
      <c r="A356" s="24">
        <v>11100</v>
      </c>
      <c r="B356" s="483" t="s">
        <v>102</v>
      </c>
      <c r="C356" s="484"/>
      <c r="D356" s="25">
        <v>1129871.96</v>
      </c>
      <c r="E356" s="53"/>
      <c r="F356" s="25">
        <v>1486781.3</v>
      </c>
      <c r="G356" s="15">
        <f aca="true" t="shared" si="14" ref="G356:G362">F356/D356</f>
        <v>1.3158847662703304</v>
      </c>
      <c r="H356" s="50" t="e">
        <f aca="true" t="shared" si="15" ref="H356:H362">F356/E356</f>
        <v>#DIV/0!</v>
      </c>
      <c r="I356" s="27">
        <f>F356/F362</f>
        <v>0.8584149184181483</v>
      </c>
    </row>
    <row r="357" spans="1:9" ht="20.25" customHeight="1">
      <c r="A357" s="24">
        <v>11115</v>
      </c>
      <c r="B357" s="483" t="s">
        <v>551</v>
      </c>
      <c r="C357" s="484"/>
      <c r="D357" s="25">
        <v>5273.39</v>
      </c>
      <c r="E357" s="53"/>
      <c r="F357" s="25">
        <v>6757.96</v>
      </c>
      <c r="G357" s="15">
        <f t="shared" si="14"/>
        <v>1.281520995033555</v>
      </c>
      <c r="H357" s="50" t="e">
        <f t="shared" si="15"/>
        <v>#DIV/0!</v>
      </c>
      <c r="I357" s="27">
        <f>F357/F362</f>
        <v>0.0039018069988323834</v>
      </c>
    </row>
    <row r="358" spans="1:9" ht="20.25" customHeight="1">
      <c r="A358" s="24">
        <v>11400</v>
      </c>
      <c r="B358" s="483" t="s">
        <v>103</v>
      </c>
      <c r="C358" s="484"/>
      <c r="D358" s="25">
        <v>957.3</v>
      </c>
      <c r="E358" s="53"/>
      <c r="F358" s="25">
        <v>5514.1</v>
      </c>
      <c r="G358" s="15">
        <f t="shared" si="14"/>
        <v>5.760054319440092</v>
      </c>
      <c r="H358" s="50" t="e">
        <f t="shared" si="15"/>
        <v>#DIV/0!</v>
      </c>
      <c r="I358" s="27">
        <f>F358/F362</f>
        <v>0.0031836462441715615</v>
      </c>
    </row>
    <row r="359" spans="1:9" ht="20.25" customHeight="1">
      <c r="A359" s="24">
        <v>11500</v>
      </c>
      <c r="B359" s="483" t="s">
        <v>1131</v>
      </c>
      <c r="C359" s="484"/>
      <c r="D359" s="25">
        <v>36566.1</v>
      </c>
      <c r="E359" s="53"/>
      <c r="F359" s="25">
        <v>68020.7</v>
      </c>
      <c r="G359" s="15">
        <f t="shared" si="14"/>
        <v>1.8602120543344791</v>
      </c>
      <c r="H359" s="50" t="e">
        <f t="shared" si="15"/>
        <v>#DIV/0!</v>
      </c>
      <c r="I359" s="27">
        <f>F359/F362</f>
        <v>0.039272745521648236</v>
      </c>
    </row>
    <row r="360" spans="1:9" ht="20.25" customHeight="1">
      <c r="A360" s="24">
        <v>11600</v>
      </c>
      <c r="B360" s="483" t="s">
        <v>552</v>
      </c>
      <c r="C360" s="484"/>
      <c r="D360" s="25">
        <v>61693.3</v>
      </c>
      <c r="E360" s="53"/>
      <c r="F360" s="25">
        <v>82466.85</v>
      </c>
      <c r="G360" s="15">
        <f t="shared" si="14"/>
        <v>1.336722950466258</v>
      </c>
      <c r="H360" s="50" t="e">
        <f t="shared" si="15"/>
        <v>#DIV/0!</v>
      </c>
      <c r="I360" s="27">
        <f>F360/F362</f>
        <v>0.04761344140859969</v>
      </c>
    </row>
    <row r="361" spans="1:9" ht="20.25" customHeight="1">
      <c r="A361" s="24">
        <v>11700</v>
      </c>
      <c r="B361" s="483" t="s">
        <v>553</v>
      </c>
      <c r="C361" s="484"/>
      <c r="D361" s="25">
        <v>61693.3</v>
      </c>
      <c r="E361" s="53"/>
      <c r="F361" s="25">
        <v>82466.85</v>
      </c>
      <c r="G361" s="15">
        <f t="shared" si="14"/>
        <v>1.336722950466258</v>
      </c>
      <c r="H361" s="50" t="e">
        <f t="shared" si="15"/>
        <v>#DIV/0!</v>
      </c>
      <c r="I361" s="27">
        <f>F361/F362</f>
        <v>0.04761344140859969</v>
      </c>
    </row>
    <row r="362" spans="1:9" ht="30" customHeight="1">
      <c r="A362" s="182"/>
      <c r="B362" s="495" t="s">
        <v>69</v>
      </c>
      <c r="C362" s="496"/>
      <c r="D362" s="36">
        <f>SUM(D356:D361)</f>
        <v>1296055.35</v>
      </c>
      <c r="E362" s="36">
        <v>10283856</v>
      </c>
      <c r="F362" s="36">
        <f>SUM(F356:F361)</f>
        <v>1732007.7600000002</v>
      </c>
      <c r="G362" s="20">
        <f t="shared" si="14"/>
        <v>1.3363686666622687</v>
      </c>
      <c r="H362" s="20">
        <f t="shared" si="15"/>
        <v>0.16842007122620156</v>
      </c>
      <c r="I362" s="38">
        <f>SUM(I356:I361)</f>
        <v>0.9999999999999999</v>
      </c>
    </row>
    <row r="363" spans="1:9" ht="20.25" customHeight="1">
      <c r="A363" s="40"/>
      <c r="B363" s="40"/>
      <c r="C363" s="40"/>
      <c r="D363" s="40"/>
      <c r="E363" s="40"/>
      <c r="F363" s="40"/>
      <c r="G363" s="40"/>
      <c r="H363" s="40"/>
      <c r="I363" s="135"/>
    </row>
    <row r="364" spans="1:9" ht="20.25" customHeight="1">
      <c r="A364" s="486" t="s">
        <v>412</v>
      </c>
      <c r="B364" s="486"/>
      <c r="C364" s="486"/>
      <c r="D364" s="486"/>
      <c r="E364" s="486"/>
      <c r="F364" s="486"/>
      <c r="G364" s="486"/>
      <c r="H364" s="486"/>
      <c r="I364" s="486"/>
    </row>
    <row r="365" spans="1:9" ht="20.25" customHeight="1">
      <c r="A365" s="486" t="s">
        <v>413</v>
      </c>
      <c r="B365" s="486"/>
      <c r="C365" s="486"/>
      <c r="D365" s="486"/>
      <c r="E365" s="486"/>
      <c r="F365" s="486"/>
      <c r="G365" s="486"/>
      <c r="H365" s="486"/>
      <c r="I365" s="486"/>
    </row>
    <row r="366" spans="1:9" ht="20.25" customHeight="1">
      <c r="A366" s="486" t="s">
        <v>414</v>
      </c>
      <c r="B366" s="486"/>
      <c r="C366" s="486"/>
      <c r="D366" s="486"/>
      <c r="E366" s="486"/>
      <c r="F366" s="486"/>
      <c r="G366" s="486"/>
      <c r="H366" s="486"/>
      <c r="I366" s="486"/>
    </row>
    <row r="367" spans="1:9" ht="20.25" customHeight="1">
      <c r="A367" s="486" t="s">
        <v>415</v>
      </c>
      <c r="B367" s="486"/>
      <c r="C367" s="486"/>
      <c r="D367" s="486"/>
      <c r="E367" s="486"/>
      <c r="F367" s="486"/>
      <c r="G367" s="486"/>
      <c r="H367" s="486"/>
      <c r="I367" s="486"/>
    </row>
    <row r="368" spans="1:9" ht="20.25" customHeight="1">
      <c r="A368" s="39"/>
      <c r="B368" s="39"/>
      <c r="C368" s="39"/>
      <c r="D368" s="39"/>
      <c r="E368" s="39"/>
      <c r="F368" s="39"/>
      <c r="G368" s="39"/>
      <c r="H368" s="39"/>
      <c r="I368" s="39"/>
    </row>
    <row r="369" spans="1:9" ht="20.25" customHeight="1">
      <c r="A369" s="39"/>
      <c r="B369" s="39"/>
      <c r="C369" s="39"/>
      <c r="D369" s="39"/>
      <c r="E369" s="39"/>
      <c r="F369" s="39"/>
      <c r="G369" s="39"/>
      <c r="H369" s="39"/>
      <c r="I369" s="39"/>
    </row>
    <row r="370" spans="1:9" ht="20.25" customHeight="1">
      <c r="A370" s="39"/>
      <c r="B370" s="39"/>
      <c r="C370" s="39"/>
      <c r="D370" s="39"/>
      <c r="E370" s="39"/>
      <c r="F370" s="39"/>
      <c r="G370" s="39"/>
      <c r="H370" s="39"/>
      <c r="I370" s="39"/>
    </row>
    <row r="371" spans="1:9" ht="20.25" customHeight="1">
      <c r="A371" s="39"/>
      <c r="B371" s="39"/>
      <c r="C371" s="39"/>
      <c r="D371" s="39"/>
      <c r="E371" s="39"/>
      <c r="F371" s="39"/>
      <c r="G371" s="39"/>
      <c r="H371" s="39"/>
      <c r="I371" s="82">
        <v>5</v>
      </c>
    </row>
    <row r="372" spans="1:9" ht="20.25" customHeight="1">
      <c r="A372" s="39"/>
      <c r="B372" s="39"/>
      <c r="C372" s="39"/>
      <c r="D372" s="39"/>
      <c r="E372" s="39"/>
      <c r="F372" s="39"/>
      <c r="G372" s="39"/>
      <c r="H372" s="39"/>
      <c r="I372" s="39"/>
    </row>
    <row r="373" spans="1:9" ht="20.25" customHeight="1">
      <c r="A373" s="40"/>
      <c r="B373" s="40"/>
      <c r="C373" s="40"/>
      <c r="D373" s="487" t="s">
        <v>682</v>
      </c>
      <c r="E373" s="487"/>
      <c r="F373" s="487"/>
      <c r="G373" s="40"/>
      <c r="H373" s="40"/>
      <c r="I373" s="135"/>
    </row>
    <row r="374" spans="1:9" ht="20.25" customHeight="1">
      <c r="A374" s="40"/>
      <c r="B374" s="40"/>
      <c r="C374" s="40"/>
      <c r="D374" s="40"/>
      <c r="E374" s="40"/>
      <c r="F374" s="40"/>
      <c r="G374" s="40"/>
      <c r="H374" s="40"/>
      <c r="I374" s="135"/>
    </row>
    <row r="375" spans="1:9" ht="20.25" customHeight="1">
      <c r="A375" s="22" t="s">
        <v>683</v>
      </c>
      <c r="B375" s="491" t="s">
        <v>688</v>
      </c>
      <c r="C375" s="492"/>
      <c r="D375" s="5" t="s">
        <v>686</v>
      </c>
      <c r="E375" s="5" t="s">
        <v>712</v>
      </c>
      <c r="F375" s="5" t="s">
        <v>686</v>
      </c>
      <c r="G375" s="192" t="s">
        <v>713</v>
      </c>
      <c r="H375" s="193"/>
      <c r="I375" s="6" t="s">
        <v>714</v>
      </c>
    </row>
    <row r="376" spans="1:9" ht="20.25" customHeight="1">
      <c r="A376" s="23" t="s">
        <v>684</v>
      </c>
      <c r="B376" s="493"/>
      <c r="C376" s="494"/>
      <c r="D376" s="7" t="s">
        <v>708</v>
      </c>
      <c r="E376" s="7" t="s">
        <v>715</v>
      </c>
      <c r="F376" s="7" t="s">
        <v>716</v>
      </c>
      <c r="G376" s="8" t="s">
        <v>706</v>
      </c>
      <c r="H376" s="9" t="s">
        <v>707</v>
      </c>
      <c r="I376" s="10" t="s">
        <v>717</v>
      </c>
    </row>
    <row r="377" spans="1:9" ht="20.25" customHeight="1">
      <c r="A377" s="63">
        <v>1</v>
      </c>
      <c r="B377" s="546">
        <v>2</v>
      </c>
      <c r="C377" s="547"/>
      <c r="D377" s="12">
        <v>3</v>
      </c>
      <c r="E377" s="12">
        <v>4</v>
      </c>
      <c r="F377" s="12">
        <v>5</v>
      </c>
      <c r="G377" s="12">
        <v>6</v>
      </c>
      <c r="H377" s="12">
        <v>7</v>
      </c>
      <c r="I377" s="13">
        <v>8</v>
      </c>
    </row>
    <row r="378" spans="1:9" ht="20.25" customHeight="1">
      <c r="A378" s="24">
        <v>16019</v>
      </c>
      <c r="B378" s="483" t="s">
        <v>71</v>
      </c>
      <c r="C378" s="484"/>
      <c r="D378" s="25">
        <v>16777.59</v>
      </c>
      <c r="E378" s="25">
        <v>111300</v>
      </c>
      <c r="F378" s="25">
        <v>14041.96</v>
      </c>
      <c r="G378" s="26">
        <f aca="true" t="shared" si="16" ref="G378:G403">F378/D378</f>
        <v>0.8369473804044562</v>
      </c>
      <c r="H378" s="27">
        <f aca="true" t="shared" si="17" ref="H378:H403">F378/E378</f>
        <v>0.12616316262353997</v>
      </c>
      <c r="I378" s="16">
        <f>F378/F403</f>
        <v>0.008107330881704594</v>
      </c>
    </row>
    <row r="379" spans="1:9" ht="20.25" customHeight="1">
      <c r="A379" s="24">
        <v>16319</v>
      </c>
      <c r="B379" s="483" t="s">
        <v>72</v>
      </c>
      <c r="C379" s="484"/>
      <c r="D379" s="25">
        <f>30887.81+96.65+924.45+1679.89+1679.89</f>
        <v>35268.69</v>
      </c>
      <c r="E379" s="25">
        <v>230128</v>
      </c>
      <c r="F379" s="25">
        <v>34740.7</v>
      </c>
      <c r="G379" s="26">
        <f t="shared" si="16"/>
        <v>0.9850294978350485</v>
      </c>
      <c r="H379" s="27">
        <f t="shared" si="17"/>
        <v>0.15096250782173398</v>
      </c>
      <c r="I379" s="16">
        <f>F379/F403</f>
        <v>0.020058051010117876</v>
      </c>
    </row>
    <row r="380" spans="1:9" ht="20.25" customHeight="1">
      <c r="A380" s="24">
        <v>16637</v>
      </c>
      <c r="B380" s="483" t="s">
        <v>73</v>
      </c>
      <c r="C380" s="484"/>
      <c r="D380" s="25">
        <v>16443.42</v>
      </c>
      <c r="E380" s="25">
        <v>121000</v>
      </c>
      <c r="F380" s="25">
        <v>19239.05</v>
      </c>
      <c r="G380" s="26">
        <f t="shared" si="16"/>
        <v>1.1700151185094099</v>
      </c>
      <c r="H380" s="27">
        <f t="shared" si="17"/>
        <v>0.15900041322314049</v>
      </c>
      <c r="I380" s="16">
        <f>F380/F403</f>
        <v>0.011107946768090692</v>
      </c>
    </row>
    <row r="381" spans="1:9" ht="20.25" customHeight="1">
      <c r="A381" s="24">
        <v>16795</v>
      </c>
      <c r="B381" s="483" t="s">
        <v>74</v>
      </c>
      <c r="C381" s="484"/>
      <c r="D381" s="25">
        <v>3945.28</v>
      </c>
      <c r="E381" s="25">
        <v>30000</v>
      </c>
      <c r="F381" s="25">
        <v>4112.24</v>
      </c>
      <c r="G381" s="26">
        <f t="shared" si="16"/>
        <v>1.0423189228647902</v>
      </c>
      <c r="H381" s="27">
        <f t="shared" si="17"/>
        <v>0.13707466666666665</v>
      </c>
      <c r="I381" s="16">
        <f>F381/F403</f>
        <v>0.0023742618797504694</v>
      </c>
    </row>
    <row r="382" spans="1:9" ht="20.25" customHeight="1">
      <c r="A382" s="24">
        <v>16919</v>
      </c>
      <c r="B382" s="483" t="s">
        <v>75</v>
      </c>
      <c r="C382" s="484"/>
      <c r="D382" s="25">
        <v>20569.5</v>
      </c>
      <c r="E382" s="25">
        <v>138590</v>
      </c>
      <c r="F382" s="25">
        <v>23329.75</v>
      </c>
      <c r="G382" s="26">
        <f t="shared" si="16"/>
        <v>1.134191399888184</v>
      </c>
      <c r="H382" s="27">
        <f t="shared" si="17"/>
        <v>0.16833646006205355</v>
      </c>
      <c r="I382" s="16">
        <f>F382/F403</f>
        <v>0.01346977221395359</v>
      </c>
    </row>
    <row r="383" spans="1:9" ht="20.25" customHeight="1">
      <c r="A383" s="24">
        <v>17519</v>
      </c>
      <c r="B383" s="483" t="s">
        <v>76</v>
      </c>
      <c r="C383" s="484"/>
      <c r="D383" s="25">
        <v>19325.06</v>
      </c>
      <c r="E383" s="25">
        <v>165000</v>
      </c>
      <c r="F383" s="25">
        <v>22186.83</v>
      </c>
      <c r="G383" s="26">
        <f t="shared" si="16"/>
        <v>1.1480859567835753</v>
      </c>
      <c r="H383" s="27">
        <f t="shared" si="17"/>
        <v>0.13446563636363637</v>
      </c>
      <c r="I383" s="16">
        <f>F383/F403</f>
        <v>0.012809890643907971</v>
      </c>
    </row>
    <row r="384" spans="1:9" ht="20.25" customHeight="1">
      <c r="A384" s="24">
        <v>18019</v>
      </c>
      <c r="B384" s="483" t="s">
        <v>77</v>
      </c>
      <c r="C384" s="484"/>
      <c r="D384" s="25">
        <v>6910.09</v>
      </c>
      <c r="E384" s="25">
        <v>60000</v>
      </c>
      <c r="F384" s="25">
        <v>8927.6</v>
      </c>
      <c r="G384" s="26">
        <f t="shared" si="16"/>
        <v>1.291965806523504</v>
      </c>
      <c r="H384" s="27">
        <f t="shared" si="17"/>
        <v>0.14879333333333333</v>
      </c>
      <c r="I384" s="16">
        <f>F384/F403</f>
        <v>0.005154480370226517</v>
      </c>
    </row>
    <row r="385" spans="1:9" ht="20.25" customHeight="1">
      <c r="A385" s="24">
        <v>18423</v>
      </c>
      <c r="B385" s="483" t="s">
        <v>78</v>
      </c>
      <c r="C385" s="484"/>
      <c r="D385" s="25">
        <v>31727.94</v>
      </c>
      <c r="E385" s="25">
        <v>225000</v>
      </c>
      <c r="F385" s="25">
        <f>36916.64</f>
        <v>36916.64</v>
      </c>
      <c r="G385" s="26">
        <f t="shared" si="16"/>
        <v>1.163537248242401</v>
      </c>
      <c r="H385" s="27">
        <f t="shared" si="17"/>
        <v>0.16407395555555554</v>
      </c>
      <c r="I385" s="16">
        <f>F385/F403</f>
        <v>0.021314361778610045</v>
      </c>
    </row>
    <row r="386" spans="1:9" ht="20.25" customHeight="1">
      <c r="A386" s="24">
        <v>19595</v>
      </c>
      <c r="B386" s="483" t="s">
        <v>79</v>
      </c>
      <c r="C386" s="484"/>
      <c r="D386" s="25">
        <v>4151.54</v>
      </c>
      <c r="E386" s="25">
        <v>40000</v>
      </c>
      <c r="F386" s="25">
        <v>5539.98</v>
      </c>
      <c r="G386" s="26">
        <f t="shared" si="16"/>
        <v>1.3344397500686491</v>
      </c>
      <c r="H386" s="27">
        <f t="shared" si="17"/>
        <v>0.1384995</v>
      </c>
      <c r="I386" s="16">
        <f>F386/F403</f>
        <v>0.0031985884405044463</v>
      </c>
    </row>
    <row r="387" spans="1:9" ht="20.25" customHeight="1">
      <c r="A387" s="24">
        <v>47019</v>
      </c>
      <c r="B387" s="483" t="s">
        <v>80</v>
      </c>
      <c r="C387" s="484"/>
      <c r="D387" s="25">
        <v>10204.98</v>
      </c>
      <c r="E387" s="25">
        <v>95000</v>
      </c>
      <c r="F387" s="25">
        <v>12509.66</v>
      </c>
      <c r="G387" s="26">
        <f t="shared" si="16"/>
        <v>1.22583875715582</v>
      </c>
      <c r="H387" s="27">
        <f t="shared" si="17"/>
        <v>0.13168063157894735</v>
      </c>
      <c r="I387" s="16">
        <f>F387/F403</f>
        <v>0.007222635076415592</v>
      </c>
    </row>
    <row r="388" spans="1:9" ht="20.25" customHeight="1">
      <c r="A388" s="24">
        <v>48019</v>
      </c>
      <c r="B388" s="483" t="s">
        <v>81</v>
      </c>
      <c r="C388" s="484"/>
      <c r="D388" s="25">
        <v>4637.64</v>
      </c>
      <c r="E388" s="25">
        <v>35000</v>
      </c>
      <c r="F388" s="25">
        <f>6490+6345.74</f>
        <v>12835.74</v>
      </c>
      <c r="G388" s="26">
        <f t="shared" si="16"/>
        <v>2.767731001112635</v>
      </c>
      <c r="H388" s="27">
        <f t="shared" si="17"/>
        <v>0.36673542857142855</v>
      </c>
      <c r="I388" s="16">
        <f>F388/F403</f>
        <v>0.007410902131292992</v>
      </c>
    </row>
    <row r="389" spans="1:9" ht="20.25" customHeight="1">
      <c r="A389" s="24">
        <v>65095</v>
      </c>
      <c r="B389" s="483" t="s">
        <v>82</v>
      </c>
      <c r="C389" s="484"/>
      <c r="D389" s="25">
        <v>9072.94</v>
      </c>
      <c r="E389" s="25">
        <v>78289</v>
      </c>
      <c r="F389" s="25">
        <v>11909.12</v>
      </c>
      <c r="G389" s="26">
        <f t="shared" si="16"/>
        <v>1.3125976805754254</v>
      </c>
      <c r="H389" s="27">
        <f t="shared" si="17"/>
        <v>0.15211741113055474</v>
      </c>
      <c r="I389" s="16">
        <f>F389/F403</f>
        <v>0.006875904528279943</v>
      </c>
    </row>
    <row r="390" spans="1:9" ht="20.25" customHeight="1">
      <c r="A390" s="24">
        <v>65495</v>
      </c>
      <c r="B390" s="483" t="s">
        <v>83</v>
      </c>
      <c r="C390" s="484"/>
      <c r="D390" s="25">
        <v>7249.44</v>
      </c>
      <c r="E390" s="25">
        <v>24000</v>
      </c>
      <c r="F390" s="25">
        <v>3345.54</v>
      </c>
      <c r="G390" s="26">
        <f t="shared" si="16"/>
        <v>0.46148943918426805</v>
      </c>
      <c r="H390" s="27">
        <f t="shared" si="17"/>
        <v>0.1393975</v>
      </c>
      <c r="I390" s="16">
        <f>F390/F403</f>
        <v>0.001931596426565664</v>
      </c>
    </row>
    <row r="391" spans="1:9" ht="20.25" customHeight="1">
      <c r="A391" s="24">
        <v>66400</v>
      </c>
      <c r="B391" s="483" t="s">
        <v>84</v>
      </c>
      <c r="C391" s="484"/>
      <c r="D391" s="25">
        <v>0</v>
      </c>
      <c r="E391" s="25">
        <v>55000</v>
      </c>
      <c r="F391" s="25">
        <v>10763.93</v>
      </c>
      <c r="G391" s="15" t="e">
        <f t="shared" si="16"/>
        <v>#DIV/0!</v>
      </c>
      <c r="H391" s="27">
        <f t="shared" si="17"/>
        <v>0.19570781818181818</v>
      </c>
      <c r="I391" s="16">
        <f>F391/F403</f>
        <v>0.0062147123405497905</v>
      </c>
    </row>
    <row r="392" spans="1:9" ht="20.25" customHeight="1">
      <c r="A392" s="35"/>
      <c r="B392" s="530" t="s">
        <v>85</v>
      </c>
      <c r="C392" s="531"/>
      <c r="D392" s="30">
        <f>D393+D394+D395</f>
        <v>215993.21</v>
      </c>
      <c r="E392" s="30">
        <f>E393+E394+E395</f>
        <v>1889581</v>
      </c>
      <c r="F392" s="29">
        <f>F393+F394+F395</f>
        <v>305739.33</v>
      </c>
      <c r="G392" s="31">
        <f t="shared" si="16"/>
        <v>1.4155043577527275</v>
      </c>
      <c r="H392" s="32">
        <f t="shared" si="17"/>
        <v>0.16180271181812264</v>
      </c>
      <c r="I392" s="33">
        <f>F392/F403</f>
        <v>0.17652307169801595</v>
      </c>
    </row>
    <row r="393" spans="1:9" ht="20.25" customHeight="1">
      <c r="A393" s="24">
        <v>73028</v>
      </c>
      <c r="B393" s="483" t="s">
        <v>86</v>
      </c>
      <c r="C393" s="484"/>
      <c r="D393" s="54">
        <v>3672.08</v>
      </c>
      <c r="E393" s="54">
        <v>30328</v>
      </c>
      <c r="F393" s="54">
        <v>2037.4</v>
      </c>
      <c r="G393" s="55">
        <f t="shared" si="16"/>
        <v>0.554835406636021</v>
      </c>
      <c r="H393" s="56">
        <f t="shared" si="17"/>
        <v>0.06717884463202321</v>
      </c>
      <c r="I393" s="57">
        <f>F393/F392</f>
        <v>0.006663846617312859</v>
      </c>
    </row>
    <row r="394" spans="1:9" ht="20.25" customHeight="1">
      <c r="A394" s="24">
        <v>74100</v>
      </c>
      <c r="B394" s="483" t="s">
        <v>87</v>
      </c>
      <c r="C394" s="484"/>
      <c r="D394" s="54">
        <v>203603.6</v>
      </c>
      <c r="E394" s="54">
        <v>1769253</v>
      </c>
      <c r="F394" s="54">
        <v>291410.22</v>
      </c>
      <c r="G394" s="55">
        <f t="shared" si="16"/>
        <v>1.4312626102878336</v>
      </c>
      <c r="H394" s="56">
        <f t="shared" si="17"/>
        <v>0.16470805475531197</v>
      </c>
      <c r="I394" s="57">
        <f>F394/F392</f>
        <v>0.9531329188168233</v>
      </c>
    </row>
    <row r="395" spans="1:9" ht="20.25" customHeight="1">
      <c r="A395" s="24">
        <v>75590</v>
      </c>
      <c r="B395" s="483" t="s">
        <v>88</v>
      </c>
      <c r="C395" s="484"/>
      <c r="D395" s="54">
        <v>8717.53</v>
      </c>
      <c r="E395" s="54">
        <v>90000</v>
      </c>
      <c r="F395" s="54">
        <v>12291.71</v>
      </c>
      <c r="G395" s="55">
        <f t="shared" si="16"/>
        <v>1.409999162606839</v>
      </c>
      <c r="H395" s="56">
        <f t="shared" si="17"/>
        <v>0.13657455555555553</v>
      </c>
      <c r="I395" s="57">
        <f>F395/F392</f>
        <v>0.040203234565863666</v>
      </c>
    </row>
    <row r="396" spans="1:9" ht="20.25" customHeight="1">
      <c r="A396" s="24">
        <v>76095</v>
      </c>
      <c r="B396" s="483" t="s">
        <v>89</v>
      </c>
      <c r="C396" s="484"/>
      <c r="D396" s="54">
        <v>0</v>
      </c>
      <c r="E396" s="54">
        <v>0</v>
      </c>
      <c r="F396" s="54">
        <v>0</v>
      </c>
      <c r="G396" s="58" t="e">
        <f t="shared" si="16"/>
        <v>#DIV/0!</v>
      </c>
      <c r="H396" s="57" t="e">
        <f t="shared" si="17"/>
        <v>#DIV/0!</v>
      </c>
      <c r="I396" s="57">
        <f>F396/F403</f>
        <v>0</v>
      </c>
    </row>
    <row r="397" spans="1:9" ht="20.25" customHeight="1">
      <c r="A397" s="24">
        <v>85019</v>
      </c>
      <c r="B397" s="483" t="s">
        <v>90</v>
      </c>
      <c r="C397" s="484"/>
      <c r="D397" s="54">
        <v>26975.93</v>
      </c>
      <c r="E397" s="54">
        <v>196000</v>
      </c>
      <c r="F397" s="54">
        <v>30163.96</v>
      </c>
      <c r="G397" s="55">
        <f t="shared" si="16"/>
        <v>1.1181805409489125</v>
      </c>
      <c r="H397" s="56">
        <f t="shared" si="17"/>
        <v>0.15389775510204082</v>
      </c>
      <c r="I397" s="57">
        <f>F397/F403</f>
        <v>0.017415603264964587</v>
      </c>
    </row>
    <row r="398" spans="1:9" ht="20.25" customHeight="1">
      <c r="A398" s="35"/>
      <c r="B398" s="530" t="s">
        <v>91</v>
      </c>
      <c r="C398" s="531"/>
      <c r="D398" s="30">
        <f>D399+D400+D401+D402</f>
        <v>866802.1000000001</v>
      </c>
      <c r="E398" s="30">
        <f>E399+E400+E401+E402</f>
        <v>6789968</v>
      </c>
      <c r="F398" s="30">
        <f>F399+F400+F401+F402</f>
        <v>1175705.73</v>
      </c>
      <c r="G398" s="31">
        <f t="shared" si="16"/>
        <v>1.3563715754726482</v>
      </c>
      <c r="H398" s="32">
        <f t="shared" si="17"/>
        <v>0.17315335359459721</v>
      </c>
      <c r="I398" s="33">
        <f>F398/F403</f>
        <v>0.6788108905470492</v>
      </c>
    </row>
    <row r="399" spans="1:9" ht="20.25" customHeight="1">
      <c r="A399" s="24">
        <v>92095</v>
      </c>
      <c r="B399" s="483" t="s">
        <v>86</v>
      </c>
      <c r="C399" s="484"/>
      <c r="D399" s="25">
        <v>7825.38</v>
      </c>
      <c r="E399" s="25">
        <v>56032.8</v>
      </c>
      <c r="F399" s="25">
        <v>8280.95</v>
      </c>
      <c r="G399" s="26">
        <f t="shared" si="16"/>
        <v>1.0582169811561868</v>
      </c>
      <c r="H399" s="27">
        <f t="shared" si="17"/>
        <v>0.14778754586599277</v>
      </c>
      <c r="I399" s="16">
        <f>F399/F398</f>
        <v>0.007043386613417289</v>
      </c>
    </row>
    <row r="400" spans="1:9" ht="20.25" customHeight="1">
      <c r="A400" s="24">
        <v>92570</v>
      </c>
      <c r="B400" s="483" t="s">
        <v>92</v>
      </c>
      <c r="C400" s="484"/>
      <c r="D400" s="25">
        <v>27916.3</v>
      </c>
      <c r="E400" s="25">
        <v>225360</v>
      </c>
      <c r="F400" s="25">
        <v>38685.02</v>
      </c>
      <c r="G400" s="26">
        <f t="shared" si="16"/>
        <v>1.3857502606004377</v>
      </c>
      <c r="H400" s="27">
        <f t="shared" si="17"/>
        <v>0.17165876819311324</v>
      </c>
      <c r="I400" s="16">
        <f>F400/F398</f>
        <v>0.03290365863913923</v>
      </c>
    </row>
    <row r="401" spans="1:9" ht="20.25" customHeight="1">
      <c r="A401" s="24">
        <v>93540</v>
      </c>
      <c r="B401" s="483" t="s">
        <v>93</v>
      </c>
      <c r="C401" s="484"/>
      <c r="D401" s="25">
        <v>572896.17</v>
      </c>
      <c r="E401" s="25">
        <v>4447688.48</v>
      </c>
      <c r="F401" s="25">
        <v>768425.97</v>
      </c>
      <c r="G401" s="26">
        <f t="shared" si="16"/>
        <v>1.341300588551674</v>
      </c>
      <c r="H401" s="27">
        <f t="shared" si="17"/>
        <v>0.17276973723663305</v>
      </c>
      <c r="I401" s="16">
        <f>F401/F398</f>
        <v>0.6535869906834595</v>
      </c>
    </row>
    <row r="402" spans="1:9" ht="20.25" customHeight="1">
      <c r="A402" s="24">
        <v>94740</v>
      </c>
      <c r="B402" s="483" t="s">
        <v>554</v>
      </c>
      <c r="C402" s="484"/>
      <c r="D402" s="25">
        <v>258164.25</v>
      </c>
      <c r="E402" s="25">
        <v>2060886.72</v>
      </c>
      <c r="F402" s="25">
        <v>360313.79</v>
      </c>
      <c r="G402" s="26">
        <f t="shared" si="16"/>
        <v>1.3956765508779778</v>
      </c>
      <c r="H402" s="27">
        <f t="shared" si="17"/>
        <v>0.1748343499442803</v>
      </c>
      <c r="I402" s="16">
        <f>F402/F398</f>
        <v>0.3064659640639839</v>
      </c>
    </row>
    <row r="403" spans="1:9" ht="30" customHeight="1">
      <c r="A403" s="182"/>
      <c r="B403" s="495" t="s">
        <v>95</v>
      </c>
      <c r="C403" s="496"/>
      <c r="D403" s="36">
        <f>D378+D379+D380+D381+D382+D383+D384+D385+D386+D387+D388+D389+D390+D392+D397+D398</f>
        <v>1296055.35</v>
      </c>
      <c r="E403" s="269">
        <f>E378+E379+E380+E381+E382+E383+E384+E385+E386+E387+E388+E389+E390+E391+E392+E397+E398</f>
        <v>10283856</v>
      </c>
      <c r="F403" s="269">
        <f>F378+F379+F380+F381+F382+F383+F384+F385+F386+F387+F388+F389+F390+F391+F392+F396+F397+F398</f>
        <v>1732007.76</v>
      </c>
      <c r="G403" s="20">
        <f t="shared" si="16"/>
        <v>1.3363686666622687</v>
      </c>
      <c r="H403" s="21">
        <f t="shared" si="17"/>
        <v>0.16842007122620153</v>
      </c>
      <c r="I403" s="21">
        <f>SUM(I378+I379+I380+I381+I382+I383+I384+I385+I386+I387+I388+I389+I390+I391+I392+I397+I398)</f>
        <v>1</v>
      </c>
    </row>
    <row r="404" spans="1:9" ht="20.25" customHeight="1">
      <c r="A404" s="41"/>
      <c r="B404" s="41"/>
      <c r="C404" s="41"/>
      <c r="D404" s="41"/>
      <c r="E404" s="41"/>
      <c r="F404" s="41"/>
      <c r="G404" s="41"/>
      <c r="H404" s="41"/>
      <c r="I404" s="135"/>
    </row>
    <row r="405" spans="1:9" ht="20.25" customHeight="1">
      <c r="A405" s="59"/>
      <c r="B405" s="486" t="s">
        <v>417</v>
      </c>
      <c r="C405" s="486"/>
      <c r="D405" s="486"/>
      <c r="E405" s="486"/>
      <c r="F405" s="486"/>
      <c r="G405" s="486"/>
      <c r="H405" s="486"/>
      <c r="I405" s="486"/>
    </row>
    <row r="406" spans="1:9" ht="20.25" customHeight="1">
      <c r="A406" s="487"/>
      <c r="B406" s="487"/>
      <c r="C406" s="487"/>
      <c r="D406" s="487"/>
      <c r="E406" s="487"/>
      <c r="F406" s="487"/>
      <c r="G406" s="487"/>
      <c r="H406" s="487"/>
      <c r="I406" s="487"/>
    </row>
    <row r="407" spans="1:9" ht="20.25" customHeight="1">
      <c r="A407" s="41"/>
      <c r="B407" s="41"/>
      <c r="C407" s="41"/>
      <c r="D407" s="41"/>
      <c r="E407" s="41"/>
      <c r="F407" s="41"/>
      <c r="G407" s="41"/>
      <c r="H407" s="41"/>
      <c r="I407" s="41"/>
    </row>
    <row r="408" spans="1:9" ht="30" customHeight="1">
      <c r="A408" s="543" t="s">
        <v>416</v>
      </c>
      <c r="B408" s="543"/>
      <c r="C408" s="543"/>
      <c r="D408" s="60"/>
      <c r="E408" s="40"/>
      <c r="F408" s="40"/>
      <c r="G408" s="40"/>
      <c r="H408" s="40"/>
      <c r="I408" s="135"/>
    </row>
    <row r="409" spans="1:9" ht="20.25" customHeight="1">
      <c r="A409" s="40"/>
      <c r="B409" s="61"/>
      <c r="C409" s="61"/>
      <c r="D409" s="60"/>
      <c r="E409" s="40"/>
      <c r="F409" s="40"/>
      <c r="G409" s="40"/>
      <c r="H409" s="40"/>
      <c r="I409" s="135"/>
    </row>
    <row r="410" spans="1:9" ht="20.25" customHeight="1">
      <c r="A410" s="39"/>
      <c r="B410" s="204"/>
      <c r="C410" s="204"/>
      <c r="D410" s="204"/>
      <c r="E410" s="39"/>
      <c r="F410" s="39"/>
      <c r="G410" s="39"/>
      <c r="H410" s="39"/>
      <c r="I410" s="138"/>
    </row>
    <row r="411" spans="1:9" ht="20.25" customHeight="1">
      <c r="A411" s="486" t="s">
        <v>1050</v>
      </c>
      <c r="B411" s="486"/>
      <c r="C411" s="486"/>
      <c r="D411" s="486"/>
      <c r="E411" s="486"/>
      <c r="F411" s="486"/>
      <c r="G411" s="486"/>
      <c r="H411" s="486"/>
      <c r="I411" s="486"/>
    </row>
    <row r="412" spans="1:9" ht="20.25" customHeight="1">
      <c r="A412" s="486" t="s">
        <v>640</v>
      </c>
      <c r="B412" s="486"/>
      <c r="C412" s="486"/>
      <c r="D412" s="486"/>
      <c r="E412" s="486"/>
      <c r="F412" s="486"/>
      <c r="G412" s="486"/>
      <c r="H412" s="486"/>
      <c r="I412" s="486"/>
    </row>
    <row r="413" spans="1:9" ht="20.25" customHeight="1">
      <c r="A413" s="486" t="s">
        <v>1049</v>
      </c>
      <c r="B413" s="486"/>
      <c r="C413" s="486"/>
      <c r="D413" s="486"/>
      <c r="E413" s="486"/>
      <c r="F413" s="486"/>
      <c r="G413" s="486"/>
      <c r="H413" s="486"/>
      <c r="I413" s="486"/>
    </row>
    <row r="414" spans="1:9" ht="20.25" customHeight="1">
      <c r="A414" s="486" t="s">
        <v>1051</v>
      </c>
      <c r="B414" s="486"/>
      <c r="C414" s="486"/>
      <c r="D414" s="486"/>
      <c r="E414" s="486"/>
      <c r="F414" s="486"/>
      <c r="G414" s="486"/>
      <c r="H414" s="486"/>
      <c r="I414" s="486"/>
    </row>
    <row r="415" spans="1:9" ht="20.25" customHeight="1">
      <c r="A415" s="39"/>
      <c r="B415" s="39"/>
      <c r="C415" s="39"/>
      <c r="D415" s="39"/>
      <c r="E415" s="39"/>
      <c r="F415" s="39"/>
      <c r="G415" s="39"/>
      <c r="H415" s="39"/>
      <c r="I415" s="138"/>
    </row>
    <row r="416" spans="1:9" ht="20.25" customHeight="1">
      <c r="A416" s="40"/>
      <c r="B416" s="40"/>
      <c r="C416" s="40"/>
      <c r="D416" s="487" t="s">
        <v>682</v>
      </c>
      <c r="E416" s="487"/>
      <c r="F416" s="487"/>
      <c r="G416" s="40"/>
      <c r="H416" s="40"/>
      <c r="I416" s="135"/>
    </row>
    <row r="417" spans="1:9" ht="20.25" customHeight="1">
      <c r="A417" s="40"/>
      <c r="B417" s="40"/>
      <c r="C417" s="40"/>
      <c r="D417" s="40"/>
      <c r="E417" s="40"/>
      <c r="F417" s="40"/>
      <c r="G417" s="40"/>
      <c r="H417" s="40"/>
      <c r="I417" s="135"/>
    </row>
    <row r="418" spans="1:9" ht="20.25" customHeight="1">
      <c r="A418" s="489" t="s">
        <v>710</v>
      </c>
      <c r="B418" s="491" t="s">
        <v>711</v>
      </c>
      <c r="C418" s="492"/>
      <c r="D418" s="5" t="s">
        <v>686</v>
      </c>
      <c r="E418" s="5" t="s">
        <v>712</v>
      </c>
      <c r="F418" s="5" t="s">
        <v>686</v>
      </c>
      <c r="G418" s="192" t="s">
        <v>713</v>
      </c>
      <c r="H418" s="193"/>
      <c r="I418" s="6" t="s">
        <v>714</v>
      </c>
    </row>
    <row r="419" spans="1:9" ht="20.25" customHeight="1">
      <c r="A419" s="490"/>
      <c r="B419" s="493"/>
      <c r="C419" s="494"/>
      <c r="D419" s="7" t="s">
        <v>708</v>
      </c>
      <c r="E419" s="7" t="s">
        <v>715</v>
      </c>
      <c r="F419" s="7" t="s">
        <v>716</v>
      </c>
      <c r="G419" s="8" t="s">
        <v>706</v>
      </c>
      <c r="H419" s="9" t="s">
        <v>707</v>
      </c>
      <c r="I419" s="10" t="s">
        <v>717</v>
      </c>
    </row>
    <row r="420" spans="1:9" ht="20.25" customHeight="1">
      <c r="A420" s="11">
        <v>1</v>
      </c>
      <c r="B420" s="535">
        <v>2</v>
      </c>
      <c r="C420" s="536"/>
      <c r="D420" s="12">
        <v>3</v>
      </c>
      <c r="E420" s="12">
        <v>4</v>
      </c>
      <c r="F420" s="12">
        <v>5</v>
      </c>
      <c r="G420" s="12">
        <v>6</v>
      </c>
      <c r="H420" s="12">
        <v>7</v>
      </c>
      <c r="I420" s="13">
        <v>8</v>
      </c>
    </row>
    <row r="421" spans="1:9" ht="20.25" customHeight="1">
      <c r="A421" s="4">
        <v>10</v>
      </c>
      <c r="B421" s="504" t="s">
        <v>718</v>
      </c>
      <c r="C421" s="505"/>
      <c r="D421" s="25">
        <v>147384.86</v>
      </c>
      <c r="E421" s="25">
        <v>1798812</v>
      </c>
      <c r="F421" s="25">
        <f>18867.68+64311.91+17720.47+1499.67+1536.15+23218.66+1252.84+30482.27+6925.73+4069.93+1701.54+3548.31+849.35+4631.24+2430.73+168967.56+10166.05+49351.06+89149.92+3394.92+400+800+1528+200+1528+2100.11+1496+3737.05+3244.8+1002.2+1660.6+1149+99.9+800+3183.14+400+1626.63+746.99+400+420+1342.79+2658.92+3689+2310+600+3386.4+1324.3+547.68+3979.4+964.56+800+1755+920.34</f>
        <v>554876.8000000002</v>
      </c>
      <c r="G421" s="15">
        <f aca="true" t="shared" si="18" ref="G421:G426">F421/D421</f>
        <v>3.764815463406487</v>
      </c>
      <c r="H421" s="16">
        <f aca="true" t="shared" si="19" ref="H421:H426">F421/E421</f>
        <v>0.3084684780844247</v>
      </c>
      <c r="I421" s="16">
        <f>F421/F426</f>
        <v>0.6766255709701373</v>
      </c>
    </row>
    <row r="422" spans="1:9" ht="20.25" customHeight="1">
      <c r="A422" s="4">
        <v>21</v>
      </c>
      <c r="B422" s="504" t="s">
        <v>719</v>
      </c>
      <c r="C422" s="505"/>
      <c r="D422" s="25">
        <v>10222.78</v>
      </c>
      <c r="E422" s="25">
        <v>123708</v>
      </c>
      <c r="F422" s="25">
        <f>7087.12</f>
        <v>7087.12</v>
      </c>
      <c r="G422" s="15">
        <f t="shared" si="18"/>
        <v>0.6932673891055074</v>
      </c>
      <c r="H422" s="16">
        <f t="shared" si="19"/>
        <v>0.05728910013903708</v>
      </c>
      <c r="I422" s="16">
        <f>F422/F426</f>
        <v>0.008642146538716122</v>
      </c>
    </row>
    <row r="423" spans="1:9" ht="20.25" customHeight="1">
      <c r="A423" s="4">
        <v>22</v>
      </c>
      <c r="B423" s="504" t="s">
        <v>720</v>
      </c>
      <c r="C423" s="505"/>
      <c r="D423" s="25">
        <v>0</v>
      </c>
      <c r="E423" s="25">
        <v>0</v>
      </c>
      <c r="F423" s="25">
        <f>46008.42+46797.88+9157.68+3375.1+54231.68+8551+18873.73+48694.63+7161.34</f>
        <v>242851.46</v>
      </c>
      <c r="G423" s="15" t="e">
        <f t="shared" si="18"/>
        <v>#DIV/0!</v>
      </c>
      <c r="H423" s="16" t="e">
        <f t="shared" si="19"/>
        <v>#DIV/0!</v>
      </c>
      <c r="I423" s="16">
        <f>F423/F426</f>
        <v>0.29613692225631244</v>
      </c>
    </row>
    <row r="424" spans="1:9" ht="20.25" customHeight="1">
      <c r="A424" s="4">
        <v>31</v>
      </c>
      <c r="B424" s="504" t="s">
        <v>66</v>
      </c>
      <c r="C424" s="505"/>
      <c r="D424" s="25">
        <v>0</v>
      </c>
      <c r="E424" s="25">
        <v>0</v>
      </c>
      <c r="F424" s="25">
        <v>0</v>
      </c>
      <c r="G424" s="15" t="e">
        <f t="shared" si="18"/>
        <v>#DIV/0!</v>
      </c>
      <c r="H424" s="16" t="e">
        <f t="shared" si="19"/>
        <v>#DIV/0!</v>
      </c>
      <c r="I424" s="16">
        <f>F424/F426</f>
        <v>0</v>
      </c>
    </row>
    <row r="425" spans="1:9" ht="20.25" customHeight="1">
      <c r="A425" s="4"/>
      <c r="B425" s="504" t="s">
        <v>548</v>
      </c>
      <c r="C425" s="505"/>
      <c r="D425" s="25">
        <v>2350.54</v>
      </c>
      <c r="E425" s="25">
        <v>0</v>
      </c>
      <c r="F425" s="25">
        <f>12050.2+3199.2</f>
        <v>15249.400000000001</v>
      </c>
      <c r="G425" s="15">
        <f t="shared" si="18"/>
        <v>6.487615611731773</v>
      </c>
      <c r="H425" s="16" t="e">
        <f t="shared" si="19"/>
        <v>#DIV/0!</v>
      </c>
      <c r="I425" s="16">
        <f>F425/F426</f>
        <v>0.01859536023483413</v>
      </c>
    </row>
    <row r="426" spans="1:9" ht="36" customHeight="1">
      <c r="A426" s="210"/>
      <c r="B426" s="548" t="s">
        <v>69</v>
      </c>
      <c r="C426" s="549"/>
      <c r="D426" s="211">
        <f>SUM(D421:D425)</f>
        <v>159958.18</v>
      </c>
      <c r="E426" s="211">
        <f>SUM(E421:E425)</f>
        <v>1922520</v>
      </c>
      <c r="F426" s="211">
        <f>SUM(F421:F425)</f>
        <v>820064.7800000001</v>
      </c>
      <c r="G426" s="265">
        <f t="shared" si="18"/>
        <v>5.126744877942473</v>
      </c>
      <c r="H426" s="266">
        <f t="shared" si="19"/>
        <v>0.42655721656991874</v>
      </c>
      <c r="I426" s="266">
        <f>SUM(I421:I425)</f>
        <v>1</v>
      </c>
    </row>
    <row r="427" spans="1:9" ht="20.25" customHeight="1">
      <c r="A427" s="40"/>
      <c r="B427" s="40"/>
      <c r="C427" s="40"/>
      <c r="D427" s="40"/>
      <c r="E427" s="40"/>
      <c r="F427" s="40"/>
      <c r="G427" s="40"/>
      <c r="H427" s="40"/>
      <c r="I427" s="135"/>
    </row>
    <row r="428" spans="1:9" ht="20.25" customHeight="1">
      <c r="A428" s="582" t="s">
        <v>1052</v>
      </c>
      <c r="B428" s="582"/>
      <c r="C428" s="582"/>
      <c r="D428" s="582"/>
      <c r="E428" s="582"/>
      <c r="F428" s="582"/>
      <c r="G428" s="582"/>
      <c r="H428" s="582"/>
      <c r="I428" s="582"/>
    </row>
    <row r="429" spans="1:9" ht="20.25" customHeight="1">
      <c r="A429" s="582" t="s">
        <v>1063</v>
      </c>
      <c r="B429" s="582"/>
      <c r="C429" s="582"/>
      <c r="D429" s="582"/>
      <c r="E429" s="582"/>
      <c r="F429" s="582"/>
      <c r="G429" s="582"/>
      <c r="H429" s="582"/>
      <c r="I429" s="582"/>
    </row>
    <row r="430" spans="1:9" ht="20.25" customHeight="1">
      <c r="A430" s="486" t="s">
        <v>1064</v>
      </c>
      <c r="B430" s="486"/>
      <c r="C430" s="486"/>
      <c r="D430" s="486"/>
      <c r="E430" s="486"/>
      <c r="F430" s="486"/>
      <c r="G430" s="486"/>
      <c r="H430" s="486"/>
      <c r="I430" s="486"/>
    </row>
    <row r="431" spans="1:9" ht="20.25" customHeight="1">
      <c r="A431" s="39"/>
      <c r="B431" s="39"/>
      <c r="C431" s="39"/>
      <c r="D431" s="39"/>
      <c r="E431" s="39"/>
      <c r="F431" s="39"/>
      <c r="G431" s="39"/>
      <c r="H431" s="39"/>
      <c r="I431" s="39"/>
    </row>
    <row r="432" spans="1:9" ht="20.25" customHeight="1">
      <c r="A432" s="39"/>
      <c r="B432" s="39"/>
      <c r="C432" s="39"/>
      <c r="D432" s="39"/>
      <c r="E432" s="39"/>
      <c r="F432" s="39"/>
      <c r="G432" s="39"/>
      <c r="H432" s="39"/>
      <c r="I432" s="82">
        <v>6</v>
      </c>
    </row>
    <row r="433" spans="1:9" ht="18.75" customHeight="1">
      <c r="A433" s="486" t="s">
        <v>1053</v>
      </c>
      <c r="B433" s="486"/>
      <c r="C433" s="486"/>
      <c r="D433" s="486"/>
      <c r="E433" s="486"/>
      <c r="F433" s="486"/>
      <c r="G433" s="486"/>
      <c r="H433" s="486"/>
      <c r="I433" s="486"/>
    </row>
    <row r="434" spans="1:9" ht="18.75" customHeight="1">
      <c r="A434" s="486" t="s">
        <v>1054</v>
      </c>
      <c r="B434" s="486"/>
      <c r="C434" s="486"/>
      <c r="D434" s="486"/>
      <c r="E434" s="486"/>
      <c r="F434" s="486"/>
      <c r="G434" s="486"/>
      <c r="H434" s="486"/>
      <c r="I434" s="486"/>
    </row>
    <row r="435" spans="1:9" ht="18.75" customHeight="1">
      <c r="A435" s="486" t="s">
        <v>1065</v>
      </c>
      <c r="B435" s="486"/>
      <c r="C435" s="486"/>
      <c r="D435" s="486"/>
      <c r="E435" s="486"/>
      <c r="F435" s="486"/>
      <c r="G435" s="486"/>
      <c r="H435" s="486"/>
      <c r="I435" s="486"/>
    </row>
    <row r="436" spans="1:9" ht="18.75" customHeight="1">
      <c r="A436" s="486" t="s">
        <v>1066</v>
      </c>
      <c r="B436" s="486"/>
      <c r="C436" s="486"/>
      <c r="D436" s="486"/>
      <c r="E436" s="486"/>
      <c r="F436" s="486"/>
      <c r="G436" s="486"/>
      <c r="H436" s="486"/>
      <c r="I436" s="486"/>
    </row>
    <row r="437" spans="1:9" ht="18.75" customHeight="1">
      <c r="A437" s="545" t="s">
        <v>1067</v>
      </c>
      <c r="B437" s="545"/>
      <c r="C437" s="545"/>
      <c r="D437" s="545"/>
      <c r="E437" s="545"/>
      <c r="F437" s="545"/>
      <c r="G437" s="545"/>
      <c r="H437" s="545"/>
      <c r="I437" s="545"/>
    </row>
    <row r="438" spans="1:9" ht="18.75" customHeight="1">
      <c r="A438" s="544" t="s">
        <v>1068</v>
      </c>
      <c r="B438" s="544"/>
      <c r="C438" s="544"/>
      <c r="D438" s="544"/>
      <c r="E438" s="544"/>
      <c r="F438" s="544"/>
      <c r="G438" s="544"/>
      <c r="H438" s="544"/>
      <c r="I438" s="544"/>
    </row>
    <row r="439" spans="1:9" ht="18.75" customHeight="1">
      <c r="A439" s="545" t="s">
        <v>1069</v>
      </c>
      <c r="B439" s="545"/>
      <c r="C439" s="545"/>
      <c r="D439" s="545"/>
      <c r="E439" s="545"/>
      <c r="F439" s="545"/>
      <c r="G439" s="545"/>
      <c r="H439" s="545"/>
      <c r="I439" s="545"/>
    </row>
    <row r="440" spans="1:9" ht="18.75" customHeight="1">
      <c r="A440" s="40"/>
      <c r="B440" s="40"/>
      <c r="C440" s="40"/>
      <c r="D440" s="40"/>
      <c r="E440" s="40"/>
      <c r="F440" s="40"/>
      <c r="G440" s="40"/>
      <c r="H440" s="40"/>
      <c r="I440" s="135"/>
    </row>
    <row r="441" spans="1:9" ht="18.75" customHeight="1">
      <c r="A441" s="40"/>
      <c r="B441" s="40"/>
      <c r="C441" s="40"/>
      <c r="D441" s="3" t="s">
        <v>682</v>
      </c>
      <c r="E441" s="40"/>
      <c r="F441" s="40"/>
      <c r="G441" s="40"/>
      <c r="H441" s="40"/>
      <c r="I441" s="135"/>
    </row>
    <row r="442" spans="1:9" ht="18.75" customHeight="1">
      <c r="A442" s="40"/>
      <c r="B442" s="40"/>
      <c r="C442" s="40"/>
      <c r="D442" s="40"/>
      <c r="E442" s="40"/>
      <c r="F442" s="40"/>
      <c r="G442" s="40"/>
      <c r="H442" s="40"/>
      <c r="I442" s="135"/>
    </row>
    <row r="443" spans="1:9" ht="18.75" customHeight="1">
      <c r="A443" s="22" t="s">
        <v>683</v>
      </c>
      <c r="B443" s="491" t="s">
        <v>688</v>
      </c>
      <c r="C443" s="492"/>
      <c r="D443" s="5" t="s">
        <v>686</v>
      </c>
      <c r="E443" s="5" t="s">
        <v>712</v>
      </c>
      <c r="F443" s="5" t="s">
        <v>686</v>
      </c>
      <c r="G443" s="192" t="s">
        <v>713</v>
      </c>
      <c r="H443" s="193"/>
      <c r="I443" s="6" t="s">
        <v>714</v>
      </c>
    </row>
    <row r="444" spans="1:9" ht="18.75" customHeight="1">
      <c r="A444" s="23" t="s">
        <v>97</v>
      </c>
      <c r="B444" s="493"/>
      <c r="C444" s="494"/>
      <c r="D444" s="7" t="s">
        <v>708</v>
      </c>
      <c r="E444" s="7" t="s">
        <v>715</v>
      </c>
      <c r="F444" s="7" t="s">
        <v>716</v>
      </c>
      <c r="G444" s="8" t="s">
        <v>706</v>
      </c>
      <c r="H444" s="9" t="s">
        <v>707</v>
      </c>
      <c r="I444" s="10" t="s">
        <v>717</v>
      </c>
    </row>
    <row r="445" spans="1:9" ht="18.75" customHeight="1">
      <c r="A445" s="13">
        <v>1</v>
      </c>
      <c r="B445" s="535">
        <v>2</v>
      </c>
      <c r="C445" s="536"/>
      <c r="D445" s="12">
        <v>3</v>
      </c>
      <c r="E445" s="12">
        <v>4</v>
      </c>
      <c r="F445" s="12">
        <v>5</v>
      </c>
      <c r="G445" s="12">
        <v>6</v>
      </c>
      <c r="H445" s="12">
        <v>7</v>
      </c>
      <c r="I445" s="13">
        <v>8</v>
      </c>
    </row>
    <row r="446" spans="1:9" ht="18.75" customHeight="1">
      <c r="A446" s="63">
        <v>1310</v>
      </c>
      <c r="B446" s="530" t="s">
        <v>555</v>
      </c>
      <c r="C446" s="531"/>
      <c r="D446" s="18">
        <f>D447+D448+D449+D450+D451+D452+D453+D454</f>
        <v>1061.5</v>
      </c>
      <c r="E446" s="18">
        <f>E447+E448+E449+E450+E451+E452+E453+E454</f>
        <v>41700</v>
      </c>
      <c r="F446" s="18">
        <f>F447+F448+F449+F450+F451+F452+F453+F454</f>
        <v>1206.5</v>
      </c>
      <c r="G446" s="37">
        <f aca="true" t="shared" si="20" ref="G446:G477">F446/D446</f>
        <v>1.1365991521431935</v>
      </c>
      <c r="H446" s="38">
        <f aca="true" t="shared" si="21" ref="H446:H477">F446/E446</f>
        <v>0.028932853717026377</v>
      </c>
      <c r="I446" s="21">
        <f>F446/F522</f>
        <v>0.001471225236620941</v>
      </c>
    </row>
    <row r="447" spans="1:9" ht="18.75" customHeight="1">
      <c r="A447" s="24">
        <v>13130</v>
      </c>
      <c r="B447" s="483" t="s">
        <v>1132</v>
      </c>
      <c r="C447" s="484"/>
      <c r="D447" s="64">
        <v>12</v>
      </c>
      <c r="E447" s="64">
        <v>3700</v>
      </c>
      <c r="F447" s="64">
        <v>82</v>
      </c>
      <c r="G447" s="15">
        <f t="shared" si="20"/>
        <v>6.833333333333333</v>
      </c>
      <c r="H447" s="16">
        <f t="shared" si="21"/>
        <v>0.02216216216216216</v>
      </c>
      <c r="I447" s="16">
        <f>F447/F446</f>
        <v>0.06796518856195607</v>
      </c>
    </row>
    <row r="448" spans="1:9" ht="18.75" customHeight="1">
      <c r="A448" s="24">
        <v>13131</v>
      </c>
      <c r="B448" s="483" t="s">
        <v>556</v>
      </c>
      <c r="C448" s="484"/>
      <c r="D448" s="64">
        <v>0</v>
      </c>
      <c r="E448" s="64">
        <v>0</v>
      </c>
      <c r="F448" s="64">
        <v>0</v>
      </c>
      <c r="G448" s="15" t="e">
        <f t="shared" si="20"/>
        <v>#DIV/0!</v>
      </c>
      <c r="H448" s="16" t="e">
        <f t="shared" si="21"/>
        <v>#DIV/0!</v>
      </c>
      <c r="I448" s="16">
        <f>F448/F446</f>
        <v>0</v>
      </c>
    </row>
    <row r="449" spans="1:9" ht="18.75" customHeight="1">
      <c r="A449" s="24">
        <v>13132</v>
      </c>
      <c r="B449" s="483" t="s">
        <v>1134</v>
      </c>
      <c r="C449" s="484"/>
      <c r="D449" s="64">
        <v>421.5</v>
      </c>
      <c r="E449" s="64">
        <v>0</v>
      </c>
      <c r="F449" s="64">
        <v>0</v>
      </c>
      <c r="G449" s="15">
        <f t="shared" si="20"/>
        <v>0</v>
      </c>
      <c r="H449" s="16" t="e">
        <f t="shared" si="21"/>
        <v>#DIV/0!</v>
      </c>
      <c r="I449" s="16">
        <f>F449/F446</f>
        <v>0</v>
      </c>
    </row>
    <row r="450" spans="1:9" ht="18.75" customHeight="1">
      <c r="A450" s="24">
        <v>13133</v>
      </c>
      <c r="B450" s="483" t="s">
        <v>1133</v>
      </c>
      <c r="C450" s="484"/>
      <c r="D450" s="64">
        <v>0</v>
      </c>
      <c r="E450" s="64">
        <v>0</v>
      </c>
      <c r="F450" s="64">
        <v>1</v>
      </c>
      <c r="G450" s="15" t="e">
        <f t="shared" si="20"/>
        <v>#DIV/0!</v>
      </c>
      <c r="H450" s="16" t="e">
        <f t="shared" si="21"/>
        <v>#DIV/0!</v>
      </c>
      <c r="I450" s="16">
        <f>F450/F446</f>
        <v>0.0008288437629506838</v>
      </c>
    </row>
    <row r="451" spans="1:9" ht="18.75" customHeight="1">
      <c r="A451" s="24">
        <v>13140</v>
      </c>
      <c r="B451" s="483" t="s">
        <v>1135</v>
      </c>
      <c r="C451" s="484"/>
      <c r="D451" s="64">
        <v>46.8</v>
      </c>
      <c r="E451" s="64">
        <v>38000</v>
      </c>
      <c r="F451" s="64">
        <v>0</v>
      </c>
      <c r="G451" s="15">
        <f t="shared" si="20"/>
        <v>0</v>
      </c>
      <c r="H451" s="16">
        <f t="shared" si="21"/>
        <v>0</v>
      </c>
      <c r="I451" s="16">
        <f>F451/F446</f>
        <v>0</v>
      </c>
    </row>
    <row r="452" spans="1:9" ht="18.75" customHeight="1">
      <c r="A452" s="24">
        <v>13141</v>
      </c>
      <c r="B452" s="483" t="s">
        <v>557</v>
      </c>
      <c r="C452" s="484"/>
      <c r="D452" s="64">
        <v>581.2</v>
      </c>
      <c r="E452" s="64">
        <v>0</v>
      </c>
      <c r="F452" s="64">
        <v>1123.5</v>
      </c>
      <c r="G452" s="15">
        <f t="shared" si="20"/>
        <v>1.9330695113558154</v>
      </c>
      <c r="H452" s="16" t="e">
        <f t="shared" si="21"/>
        <v>#DIV/0!</v>
      </c>
      <c r="I452" s="16">
        <f>F452/F446</f>
        <v>0.9312059676750932</v>
      </c>
    </row>
    <row r="453" spans="1:9" ht="18.75" customHeight="1">
      <c r="A453" s="24">
        <v>13142</v>
      </c>
      <c r="B453" s="483" t="s">
        <v>1136</v>
      </c>
      <c r="C453" s="484"/>
      <c r="D453" s="64">
        <v>0</v>
      </c>
      <c r="E453" s="64">
        <v>0</v>
      </c>
      <c r="F453" s="64">
        <v>0</v>
      </c>
      <c r="G453" s="15" t="e">
        <f t="shared" si="20"/>
        <v>#DIV/0!</v>
      </c>
      <c r="H453" s="16" t="e">
        <f t="shared" si="21"/>
        <v>#DIV/0!</v>
      </c>
      <c r="I453" s="16">
        <f>F453/F446</f>
        <v>0</v>
      </c>
    </row>
    <row r="454" spans="1:9" ht="18.75" customHeight="1">
      <c r="A454" s="24">
        <v>13143</v>
      </c>
      <c r="B454" s="483" t="s">
        <v>1137</v>
      </c>
      <c r="C454" s="484"/>
      <c r="D454" s="64">
        <v>0</v>
      </c>
      <c r="E454" s="64">
        <v>0</v>
      </c>
      <c r="F454" s="64">
        <v>0</v>
      </c>
      <c r="G454" s="15" t="e">
        <f t="shared" si="20"/>
        <v>#DIV/0!</v>
      </c>
      <c r="H454" s="16" t="e">
        <f t="shared" si="21"/>
        <v>#DIV/0!</v>
      </c>
      <c r="I454" s="16">
        <f>F454/F446</f>
        <v>0</v>
      </c>
    </row>
    <row r="455" spans="1:9" ht="18.75" customHeight="1">
      <c r="A455" s="35">
        <v>1330</v>
      </c>
      <c r="B455" s="530" t="s">
        <v>558</v>
      </c>
      <c r="C455" s="531"/>
      <c r="D455" s="66">
        <f>D456+D457+D458</f>
        <v>5735.42</v>
      </c>
      <c r="E455" s="66">
        <f>E456+E457+E458</f>
        <v>22410</v>
      </c>
      <c r="F455" s="66">
        <f>F456+F457+F458</f>
        <v>19114.92</v>
      </c>
      <c r="G455" s="20">
        <f t="shared" si="20"/>
        <v>3.332784695802574</v>
      </c>
      <c r="H455" s="21">
        <f t="shared" si="21"/>
        <v>0.8529638554216866</v>
      </c>
      <c r="I455" s="21">
        <f>F455/F522</f>
        <v>0.02330903663488633</v>
      </c>
    </row>
    <row r="456" spans="1:9" ht="18.75" customHeight="1">
      <c r="A456" s="24">
        <v>13310</v>
      </c>
      <c r="B456" s="483" t="s">
        <v>559</v>
      </c>
      <c r="C456" s="484"/>
      <c r="D456" s="64">
        <v>40</v>
      </c>
      <c r="E456" s="64">
        <f>2900+1000</f>
        <v>3900</v>
      </c>
      <c r="F456" s="64">
        <v>434.8</v>
      </c>
      <c r="G456" s="67">
        <f t="shared" si="20"/>
        <v>10.870000000000001</v>
      </c>
      <c r="H456" s="16">
        <f t="shared" si="21"/>
        <v>0.1114871794871795</v>
      </c>
      <c r="I456" s="16">
        <f>F456/F455</f>
        <v>0.02274662933457216</v>
      </c>
    </row>
    <row r="457" spans="1:9" ht="18.75" customHeight="1">
      <c r="A457" s="24">
        <v>13320</v>
      </c>
      <c r="B457" s="483" t="s">
        <v>560</v>
      </c>
      <c r="C457" s="484"/>
      <c r="D457" s="64">
        <v>5563.92</v>
      </c>
      <c r="E457" s="64">
        <v>18110</v>
      </c>
      <c r="F457" s="64">
        <v>9313.43</v>
      </c>
      <c r="G457" s="15">
        <f t="shared" si="20"/>
        <v>1.673897180405182</v>
      </c>
      <c r="H457" s="16">
        <f t="shared" si="21"/>
        <v>0.5142700165654335</v>
      </c>
      <c r="I457" s="16">
        <f>F457/F455</f>
        <v>0.48723353275870374</v>
      </c>
    </row>
    <row r="458" spans="1:9" ht="18.75" customHeight="1">
      <c r="A458" s="24">
        <v>13330</v>
      </c>
      <c r="B458" s="483" t="s">
        <v>561</v>
      </c>
      <c r="C458" s="484"/>
      <c r="D458" s="64">
        <v>131.5</v>
      </c>
      <c r="E458" s="64">
        <v>400</v>
      </c>
      <c r="F458" s="64">
        <v>9366.69</v>
      </c>
      <c r="G458" s="67">
        <f t="shared" si="20"/>
        <v>71.22958174904943</v>
      </c>
      <c r="H458" s="68">
        <f t="shared" si="21"/>
        <v>23.416725</v>
      </c>
      <c r="I458" s="16">
        <f>F458/F455</f>
        <v>0.49001983790672426</v>
      </c>
    </row>
    <row r="459" spans="1:9" ht="18.75" customHeight="1">
      <c r="A459" s="35">
        <v>1340</v>
      </c>
      <c r="B459" s="530" t="s">
        <v>562</v>
      </c>
      <c r="C459" s="531"/>
      <c r="D459" s="18">
        <f>D460+D462+D463+D464+D465+D466</f>
        <v>30180.63</v>
      </c>
      <c r="E459" s="18">
        <f>E460+E461+E462+E463+E464+E465+E466</f>
        <v>776232</v>
      </c>
      <c r="F459" s="18">
        <f>F460+F462+F463+F464+F465+F466</f>
        <v>228671.74000000002</v>
      </c>
      <c r="G459" s="20">
        <f t="shared" si="20"/>
        <v>7.576771591580428</v>
      </c>
      <c r="H459" s="21">
        <f t="shared" si="21"/>
        <v>0.2945920034216575</v>
      </c>
      <c r="I459" s="21">
        <f>F459/F522</f>
        <v>0.2788459467799605</v>
      </c>
    </row>
    <row r="460" spans="1:9" ht="18.75" customHeight="1">
      <c r="A460" s="24">
        <v>13410</v>
      </c>
      <c r="B460" s="483" t="s">
        <v>563</v>
      </c>
      <c r="C460" s="484"/>
      <c r="D460" s="64">
        <v>0</v>
      </c>
      <c r="E460" s="64">
        <v>11500</v>
      </c>
      <c r="F460" s="64">
        <v>840</v>
      </c>
      <c r="G460" s="15" t="e">
        <f t="shared" si="20"/>
        <v>#DIV/0!</v>
      </c>
      <c r="H460" s="16">
        <f t="shared" si="21"/>
        <v>0.07304347826086957</v>
      </c>
      <c r="I460" s="16">
        <f>F460/F459</f>
        <v>0.0036733878878080863</v>
      </c>
    </row>
    <row r="461" spans="1:9" ht="18.75" customHeight="1">
      <c r="A461" s="24">
        <v>13430</v>
      </c>
      <c r="B461" s="504" t="s">
        <v>564</v>
      </c>
      <c r="C461" s="505"/>
      <c r="D461" s="64">
        <v>0</v>
      </c>
      <c r="E461" s="64">
        <v>3000</v>
      </c>
      <c r="F461" s="64">
        <v>0</v>
      </c>
      <c r="G461" s="15" t="e">
        <f t="shared" si="20"/>
        <v>#DIV/0!</v>
      </c>
      <c r="H461" s="16">
        <f t="shared" si="21"/>
        <v>0</v>
      </c>
      <c r="I461" s="16">
        <f>F461/F459</f>
        <v>0</v>
      </c>
    </row>
    <row r="462" spans="1:9" ht="18.75" customHeight="1">
      <c r="A462" s="24">
        <v>13440</v>
      </c>
      <c r="B462" s="504" t="s">
        <v>1138</v>
      </c>
      <c r="C462" s="505"/>
      <c r="D462" s="64">
        <v>0</v>
      </c>
      <c r="E462" s="64">
        <v>3000</v>
      </c>
      <c r="F462" s="64">
        <v>3910</v>
      </c>
      <c r="G462" s="15" t="e">
        <f t="shared" si="20"/>
        <v>#DIV/0!</v>
      </c>
      <c r="H462" s="69">
        <f t="shared" si="21"/>
        <v>1.3033333333333332</v>
      </c>
      <c r="I462" s="16">
        <f>F462/F459</f>
        <v>0.017098746001582878</v>
      </c>
    </row>
    <row r="463" spans="1:9" ht="18.75" customHeight="1">
      <c r="A463" s="24">
        <v>13450</v>
      </c>
      <c r="B463" s="504" t="s">
        <v>565</v>
      </c>
      <c r="C463" s="505"/>
      <c r="D463" s="64">
        <v>0</v>
      </c>
      <c r="E463" s="64">
        <v>5000</v>
      </c>
      <c r="F463" s="64">
        <v>1989.2</v>
      </c>
      <c r="G463" s="15" t="e">
        <f t="shared" si="20"/>
        <v>#DIV/0!</v>
      </c>
      <c r="H463" s="16">
        <f t="shared" si="21"/>
        <v>0.39784</v>
      </c>
      <c r="I463" s="16">
        <f>F463/F459</f>
        <v>0.008698932364795055</v>
      </c>
    </row>
    <row r="464" spans="1:9" ht="18.75" customHeight="1">
      <c r="A464" s="24">
        <v>13460</v>
      </c>
      <c r="B464" s="504" t="s">
        <v>566</v>
      </c>
      <c r="C464" s="505"/>
      <c r="D464" s="64">
        <v>30180.63</v>
      </c>
      <c r="E464" s="64">
        <f>712050+38682</f>
        <v>750732</v>
      </c>
      <c r="F464" s="64">
        <v>216891.4</v>
      </c>
      <c r="G464" s="15">
        <f t="shared" si="20"/>
        <v>7.186443755481578</v>
      </c>
      <c r="H464" s="16">
        <f t="shared" si="21"/>
        <v>0.2889065605302558</v>
      </c>
      <c r="I464" s="16">
        <f>F464/F459</f>
        <v>0.9484836211068319</v>
      </c>
    </row>
    <row r="465" spans="1:9" ht="18.75" customHeight="1">
      <c r="A465" s="24">
        <v>13470</v>
      </c>
      <c r="B465" s="504" t="s">
        <v>567</v>
      </c>
      <c r="C465" s="505"/>
      <c r="D465" s="64">
        <v>0</v>
      </c>
      <c r="E465" s="64">
        <v>3000</v>
      </c>
      <c r="F465" s="64">
        <v>1004</v>
      </c>
      <c r="G465" s="15" t="e">
        <f t="shared" si="20"/>
        <v>#DIV/0!</v>
      </c>
      <c r="H465" s="16">
        <f t="shared" si="21"/>
        <v>0.33466666666666667</v>
      </c>
      <c r="I465" s="16">
        <f>F465/F459</f>
        <v>0.004390573142094427</v>
      </c>
    </row>
    <row r="466" spans="1:9" ht="18.75" customHeight="1">
      <c r="A466" s="24">
        <v>13480</v>
      </c>
      <c r="B466" s="504" t="s">
        <v>568</v>
      </c>
      <c r="C466" s="505"/>
      <c r="D466" s="64">
        <v>0</v>
      </c>
      <c r="E466" s="64">
        <v>0</v>
      </c>
      <c r="F466" s="64">
        <v>4037.14</v>
      </c>
      <c r="G466" s="15" t="e">
        <f t="shared" si="20"/>
        <v>#DIV/0!</v>
      </c>
      <c r="H466" s="16" t="e">
        <f t="shared" si="21"/>
        <v>#DIV/0!</v>
      </c>
      <c r="I466" s="16">
        <f>F466/F459</f>
        <v>0.017654739496887544</v>
      </c>
    </row>
    <row r="467" spans="1:9" ht="18.75" customHeight="1">
      <c r="A467" s="35">
        <v>1350</v>
      </c>
      <c r="B467" s="530" t="s">
        <v>1139</v>
      </c>
      <c r="C467" s="531"/>
      <c r="D467" s="18">
        <f>D468+D469+D470+D471+D472+D473+D474+D475</f>
        <v>7994.8</v>
      </c>
      <c r="E467" s="18">
        <f>E468+E469+E470+E471+E472+E473+E474+E475</f>
        <v>42000</v>
      </c>
      <c r="F467" s="18">
        <f>F468+F469+F470+F471+F472+F473+F474+F475</f>
        <v>74225.38</v>
      </c>
      <c r="G467" s="20">
        <f t="shared" si="20"/>
        <v>9.284207234702556</v>
      </c>
      <c r="H467" s="70">
        <f t="shared" si="21"/>
        <v>1.7672709523809524</v>
      </c>
      <c r="I467" s="21">
        <f>F467/F522</f>
        <v>0.0905116056807122</v>
      </c>
    </row>
    <row r="468" spans="1:9" ht="18.75" customHeight="1">
      <c r="A468" s="24">
        <v>13501</v>
      </c>
      <c r="B468" s="483" t="s">
        <v>569</v>
      </c>
      <c r="C468" s="484"/>
      <c r="D468" s="64">
        <v>2000</v>
      </c>
      <c r="E468" s="64">
        <f>12000+1000</f>
        <v>13000</v>
      </c>
      <c r="F468" s="64">
        <v>46940.3</v>
      </c>
      <c r="G468" s="67">
        <f t="shared" si="20"/>
        <v>23.47015</v>
      </c>
      <c r="H468" s="69">
        <f t="shared" si="21"/>
        <v>3.610792307692308</v>
      </c>
      <c r="I468" s="16">
        <f>F468/F467</f>
        <v>0.6324022861183062</v>
      </c>
    </row>
    <row r="469" spans="1:9" ht="18.75" customHeight="1">
      <c r="A469" s="24">
        <v>13502</v>
      </c>
      <c r="B469" s="483" t="s">
        <v>570</v>
      </c>
      <c r="C469" s="484"/>
      <c r="D469" s="64">
        <v>0</v>
      </c>
      <c r="E469" s="64">
        <v>300</v>
      </c>
      <c r="F469" s="64">
        <v>0</v>
      </c>
      <c r="G469" s="15" t="e">
        <f t="shared" si="20"/>
        <v>#DIV/0!</v>
      </c>
      <c r="H469" s="16">
        <f t="shared" si="21"/>
        <v>0</v>
      </c>
      <c r="I469" s="16">
        <f>F469/F467</f>
        <v>0</v>
      </c>
    </row>
    <row r="470" spans="1:9" ht="18.75" customHeight="1">
      <c r="A470" s="24">
        <v>13503</v>
      </c>
      <c r="B470" s="483" t="s">
        <v>571</v>
      </c>
      <c r="C470" s="484"/>
      <c r="D470" s="64">
        <v>2532.85</v>
      </c>
      <c r="E470" s="64">
        <v>6800</v>
      </c>
      <c r="F470" s="64">
        <v>11867.02</v>
      </c>
      <c r="G470" s="15">
        <f t="shared" si="20"/>
        <v>4.685243895216851</v>
      </c>
      <c r="H470" s="69">
        <f t="shared" si="21"/>
        <v>1.74515</v>
      </c>
      <c r="I470" s="16">
        <f>F470/F467</f>
        <v>0.15987819799642655</v>
      </c>
    </row>
    <row r="471" spans="1:9" ht="18.75" customHeight="1">
      <c r="A471" s="24">
        <v>13504</v>
      </c>
      <c r="B471" s="483" t="s">
        <v>1141</v>
      </c>
      <c r="C471" s="484"/>
      <c r="D471" s="64">
        <v>0</v>
      </c>
      <c r="E471" s="64">
        <v>1000</v>
      </c>
      <c r="F471" s="64">
        <v>701</v>
      </c>
      <c r="G471" s="15" t="e">
        <f t="shared" si="20"/>
        <v>#DIV/0!</v>
      </c>
      <c r="H471" s="16">
        <f t="shared" si="21"/>
        <v>0.701</v>
      </c>
      <c r="I471" s="16">
        <f>F471/F467</f>
        <v>0.009444208975420537</v>
      </c>
    </row>
    <row r="472" spans="1:9" ht="18.75" customHeight="1">
      <c r="A472" s="24">
        <v>13505</v>
      </c>
      <c r="B472" s="230" t="s">
        <v>572</v>
      </c>
      <c r="C472" s="262"/>
      <c r="D472" s="64">
        <v>0</v>
      </c>
      <c r="E472" s="64">
        <v>1800</v>
      </c>
      <c r="F472" s="64">
        <v>0</v>
      </c>
      <c r="G472" s="15" t="e">
        <f t="shared" si="20"/>
        <v>#DIV/0!</v>
      </c>
      <c r="H472" s="16">
        <f t="shared" si="21"/>
        <v>0</v>
      </c>
      <c r="I472" s="16">
        <f>F472/F467</f>
        <v>0</v>
      </c>
    </row>
    <row r="473" spans="1:9" ht="18.75" customHeight="1">
      <c r="A473" s="24">
        <v>13506</v>
      </c>
      <c r="B473" s="483" t="s">
        <v>573</v>
      </c>
      <c r="C473" s="484"/>
      <c r="D473" s="64">
        <v>0</v>
      </c>
      <c r="E473" s="64">
        <v>0</v>
      </c>
      <c r="F473" s="64">
        <v>0</v>
      </c>
      <c r="G473" s="15" t="e">
        <f t="shared" si="20"/>
        <v>#DIV/0!</v>
      </c>
      <c r="H473" s="16" t="e">
        <f t="shared" si="21"/>
        <v>#DIV/0!</v>
      </c>
      <c r="I473" s="16">
        <f>F473/F467</f>
        <v>0</v>
      </c>
    </row>
    <row r="474" spans="1:9" ht="18.75" customHeight="1">
      <c r="A474" s="24">
        <v>13508</v>
      </c>
      <c r="B474" s="483" t="s">
        <v>574</v>
      </c>
      <c r="C474" s="484"/>
      <c r="D474" s="64">
        <v>0</v>
      </c>
      <c r="E474" s="64">
        <v>0</v>
      </c>
      <c r="F474" s="64">
        <v>0</v>
      </c>
      <c r="G474" s="15" t="e">
        <f t="shared" si="20"/>
        <v>#DIV/0!</v>
      </c>
      <c r="H474" s="16" t="e">
        <f t="shared" si="21"/>
        <v>#DIV/0!</v>
      </c>
      <c r="I474" s="16">
        <f>F474/F467</f>
        <v>0</v>
      </c>
    </row>
    <row r="475" spans="1:9" ht="18.75" customHeight="1">
      <c r="A475" s="24">
        <v>13509</v>
      </c>
      <c r="B475" s="483" t="s">
        <v>575</v>
      </c>
      <c r="C475" s="484"/>
      <c r="D475" s="64">
        <v>3461.95</v>
      </c>
      <c r="E475" s="64">
        <f>18100+1000</f>
        <v>19100</v>
      </c>
      <c r="F475" s="64">
        <v>14717.06</v>
      </c>
      <c r="G475" s="15">
        <f t="shared" si="20"/>
        <v>4.2510897037796616</v>
      </c>
      <c r="H475" s="16">
        <f t="shared" si="21"/>
        <v>0.7705267015706806</v>
      </c>
      <c r="I475" s="16">
        <f>F475/F467</f>
        <v>0.1982753069098467</v>
      </c>
    </row>
    <row r="476" spans="1:9" ht="18.75" customHeight="1">
      <c r="A476" s="35">
        <v>1360</v>
      </c>
      <c r="B476" s="530" t="s">
        <v>1140</v>
      </c>
      <c r="C476" s="531"/>
      <c r="D476" s="66">
        <f>D477+D478+D479+D480+D481+D482+D483</f>
        <v>26569.89</v>
      </c>
      <c r="E476" s="66">
        <f>E477+E478+E479+E480+E481+E482+E483</f>
        <v>221050</v>
      </c>
      <c r="F476" s="66">
        <f>F477+F478+F479+F480+F481+F482+F483</f>
        <v>105806.74</v>
      </c>
      <c r="G476" s="20">
        <f t="shared" si="20"/>
        <v>3.9822046685176344</v>
      </c>
      <c r="H476" s="21">
        <f t="shared" si="21"/>
        <v>0.4786552363718616</v>
      </c>
      <c r="I476" s="21">
        <f>F476/F522</f>
        <v>0.12902241698515574</v>
      </c>
    </row>
    <row r="477" spans="1:9" ht="18.75" customHeight="1">
      <c r="A477" s="24">
        <v>13610</v>
      </c>
      <c r="B477" s="483" t="s">
        <v>576</v>
      </c>
      <c r="C477" s="484"/>
      <c r="D477" s="64">
        <v>14798.8</v>
      </c>
      <c r="E477" s="64">
        <f>101640+2000</f>
        <v>103640</v>
      </c>
      <c r="F477" s="64">
        <v>36707.83</v>
      </c>
      <c r="G477" s="15">
        <f t="shared" si="20"/>
        <v>2.480459902154229</v>
      </c>
      <c r="H477" s="16">
        <f t="shared" si="21"/>
        <v>0.3541859320725589</v>
      </c>
      <c r="I477" s="16">
        <f>F477/F476</f>
        <v>0.34693281354288014</v>
      </c>
    </row>
    <row r="478" spans="1:9" ht="18.75" customHeight="1">
      <c r="A478" s="24">
        <v>13620</v>
      </c>
      <c r="B478" s="483" t="s">
        <v>1142</v>
      </c>
      <c r="C478" s="484"/>
      <c r="D478" s="64">
        <v>5515.05</v>
      </c>
      <c r="E478" s="64">
        <f>45000+950</f>
        <v>45950</v>
      </c>
      <c r="F478" s="64">
        <v>31146.15</v>
      </c>
      <c r="G478" s="15">
        <f aca="true" t="shared" si="22" ref="G478:G498">F478/D478</f>
        <v>5.6474827970734625</v>
      </c>
      <c r="H478" s="16">
        <f aca="true" t="shared" si="23" ref="H478:H498">F478/E478</f>
        <v>0.6778269858541893</v>
      </c>
      <c r="I478" s="16">
        <f>F478/F476</f>
        <v>0.29436829827665045</v>
      </c>
    </row>
    <row r="479" spans="1:9" ht="18.75" customHeight="1">
      <c r="A479" s="24">
        <v>13630</v>
      </c>
      <c r="B479" s="483" t="s">
        <v>577</v>
      </c>
      <c r="C479" s="484"/>
      <c r="D479" s="64">
        <v>2755.64</v>
      </c>
      <c r="E479" s="64">
        <v>30000</v>
      </c>
      <c r="F479" s="64">
        <v>24656</v>
      </c>
      <c r="G479" s="15">
        <f t="shared" si="22"/>
        <v>8.947467738891874</v>
      </c>
      <c r="H479" s="16">
        <f t="shared" si="23"/>
        <v>0.8218666666666666</v>
      </c>
      <c r="I479" s="16">
        <f>F479/F476</f>
        <v>0.23302863314756697</v>
      </c>
    </row>
    <row r="480" spans="1:9" ht="18.75" customHeight="1">
      <c r="A480" s="24">
        <v>13640</v>
      </c>
      <c r="B480" s="483" t="s">
        <v>578</v>
      </c>
      <c r="C480" s="484"/>
      <c r="D480" s="64">
        <v>2510.4</v>
      </c>
      <c r="E480" s="64">
        <v>23700</v>
      </c>
      <c r="F480" s="64">
        <v>3894.26</v>
      </c>
      <c r="G480" s="15">
        <f t="shared" si="22"/>
        <v>1.5512507966857871</v>
      </c>
      <c r="H480" s="16">
        <f t="shared" si="23"/>
        <v>0.16431476793248945</v>
      </c>
      <c r="I480" s="16">
        <f>F480/F476</f>
        <v>0.036805405780387906</v>
      </c>
    </row>
    <row r="481" spans="1:9" ht="18.75" customHeight="1">
      <c r="A481" s="24">
        <v>13650</v>
      </c>
      <c r="B481" s="483" t="s">
        <v>579</v>
      </c>
      <c r="C481" s="484"/>
      <c r="D481" s="64">
        <v>0</v>
      </c>
      <c r="E481" s="64">
        <v>17260</v>
      </c>
      <c r="F481" s="64">
        <v>2.5</v>
      </c>
      <c r="G481" s="15" t="e">
        <f t="shared" si="22"/>
        <v>#DIV/0!</v>
      </c>
      <c r="H481" s="16">
        <f t="shared" si="23"/>
        <v>0.00014484356894553882</v>
      </c>
      <c r="I481" s="16">
        <f>F481/F476</f>
        <v>2.3627984379823063E-05</v>
      </c>
    </row>
    <row r="482" spans="1:9" ht="18.75" customHeight="1">
      <c r="A482" s="24">
        <v>13660</v>
      </c>
      <c r="B482" s="483" t="s">
        <v>580</v>
      </c>
      <c r="C482" s="484"/>
      <c r="D482" s="64">
        <v>990</v>
      </c>
      <c r="E482" s="64">
        <v>0</v>
      </c>
      <c r="F482" s="64">
        <v>9400</v>
      </c>
      <c r="G482" s="15">
        <f t="shared" si="22"/>
        <v>9.494949494949495</v>
      </c>
      <c r="H482" s="16" t="e">
        <f t="shared" si="23"/>
        <v>#DIV/0!</v>
      </c>
      <c r="I482" s="16">
        <f>F482/F476</f>
        <v>0.0888412212681347</v>
      </c>
    </row>
    <row r="483" spans="1:9" ht="18.75" customHeight="1">
      <c r="A483" s="24">
        <v>13681</v>
      </c>
      <c r="B483" s="483" t="s">
        <v>581</v>
      </c>
      <c r="C483" s="484"/>
      <c r="D483" s="64">
        <v>0</v>
      </c>
      <c r="E483" s="64">
        <v>500</v>
      </c>
      <c r="F483" s="64">
        <v>0</v>
      </c>
      <c r="G483" s="15" t="e">
        <f t="shared" si="22"/>
        <v>#DIV/0!</v>
      </c>
      <c r="H483" s="16">
        <f t="shared" si="23"/>
        <v>0</v>
      </c>
      <c r="I483" s="16">
        <f>F483/F476</f>
        <v>0</v>
      </c>
    </row>
    <row r="484" spans="1:9" ht="18.75" customHeight="1">
      <c r="A484" s="35">
        <v>1370</v>
      </c>
      <c r="B484" s="530" t="s">
        <v>582</v>
      </c>
      <c r="C484" s="531"/>
      <c r="D484" s="66">
        <f>D485+D486+D487+D488+D489+D490</f>
        <v>60004.21000000001</v>
      </c>
      <c r="E484" s="66">
        <f>E485+E486+E487+E488+E489+E490</f>
        <v>427598</v>
      </c>
      <c r="F484" s="66">
        <f>F485+F486+F487+F488+F489+F490</f>
        <v>297359.81</v>
      </c>
      <c r="G484" s="20">
        <f t="shared" si="22"/>
        <v>4.955649111953977</v>
      </c>
      <c r="H484" s="21">
        <f t="shared" si="23"/>
        <v>0.695419085215553</v>
      </c>
      <c r="I484" s="21">
        <f>F484/F522</f>
        <v>0.3626052688179097</v>
      </c>
    </row>
    <row r="485" spans="1:9" ht="18.75" customHeight="1">
      <c r="A485" s="24">
        <v>13710</v>
      </c>
      <c r="B485" s="483" t="s">
        <v>583</v>
      </c>
      <c r="C485" s="484"/>
      <c r="D485" s="64">
        <v>300.22</v>
      </c>
      <c r="E485" s="64">
        <v>4750</v>
      </c>
      <c r="F485" s="64">
        <v>4190</v>
      </c>
      <c r="G485" s="67">
        <f t="shared" si="22"/>
        <v>13.956431949903402</v>
      </c>
      <c r="H485" s="16">
        <f t="shared" si="23"/>
        <v>0.8821052631578947</v>
      </c>
      <c r="I485" s="16">
        <f>F485/F484</f>
        <v>0.014090673517715794</v>
      </c>
    </row>
    <row r="486" spans="1:9" ht="18.75" customHeight="1">
      <c r="A486" s="24">
        <v>13720</v>
      </c>
      <c r="B486" s="483" t="s">
        <v>222</v>
      </c>
      <c r="C486" s="484"/>
      <c r="D486" s="64">
        <v>6453.98</v>
      </c>
      <c r="E486" s="64">
        <v>128400</v>
      </c>
      <c r="F486" s="64">
        <v>70577.65</v>
      </c>
      <c r="G486" s="67">
        <f t="shared" si="22"/>
        <v>10.935523506425492</v>
      </c>
      <c r="H486" s="16">
        <f t="shared" si="23"/>
        <v>0.5496701713395639</v>
      </c>
      <c r="I486" s="16">
        <f>F486/F484</f>
        <v>0.23734764291112506</v>
      </c>
    </row>
    <row r="487" spans="1:9" ht="18.75" customHeight="1">
      <c r="A487" s="24">
        <v>13730</v>
      </c>
      <c r="B487" s="483" t="s">
        <v>223</v>
      </c>
      <c r="C487" s="484"/>
      <c r="D487" s="64"/>
      <c r="E487" s="64">
        <v>4000</v>
      </c>
      <c r="F487" s="64">
        <v>0</v>
      </c>
      <c r="G487" s="15" t="e">
        <f t="shared" si="22"/>
        <v>#DIV/0!</v>
      </c>
      <c r="H487" s="16">
        <f t="shared" si="23"/>
        <v>0</v>
      </c>
      <c r="I487" s="16">
        <f>F487/F484</f>
        <v>0</v>
      </c>
    </row>
    <row r="488" spans="1:9" ht="18.75" customHeight="1">
      <c r="A488" s="24">
        <v>13760</v>
      </c>
      <c r="B488" s="483" t="s">
        <v>224</v>
      </c>
      <c r="C488" s="484"/>
      <c r="D488" s="64">
        <v>19221.12</v>
      </c>
      <c r="E488" s="64">
        <f>120470+15000</f>
        <v>135470</v>
      </c>
      <c r="F488" s="64">
        <v>56246.25</v>
      </c>
      <c r="G488" s="15">
        <f t="shared" si="22"/>
        <v>2.9262732868844274</v>
      </c>
      <c r="H488" s="16">
        <f t="shared" si="23"/>
        <v>0.4151934007529342</v>
      </c>
      <c r="I488" s="16">
        <f>F488/F484</f>
        <v>0.18915215879375225</v>
      </c>
    </row>
    <row r="489" spans="1:9" ht="18.75" customHeight="1">
      <c r="A489" s="24">
        <v>13770</v>
      </c>
      <c r="B489" s="483" t="s">
        <v>225</v>
      </c>
      <c r="C489" s="484"/>
      <c r="D489" s="64">
        <v>10916.65</v>
      </c>
      <c r="E489" s="64">
        <f>36670+1000</f>
        <v>37670</v>
      </c>
      <c r="F489" s="64">
        <v>79239.88</v>
      </c>
      <c r="G489" s="15">
        <f t="shared" si="22"/>
        <v>7.2586260437038845</v>
      </c>
      <c r="H489" s="69">
        <f t="shared" si="23"/>
        <v>2.103527475444651</v>
      </c>
      <c r="I489" s="16">
        <f>F489/F484</f>
        <v>0.2664781094661044</v>
      </c>
    </row>
    <row r="490" spans="1:9" ht="18.75" customHeight="1">
      <c r="A490" s="24">
        <v>13780</v>
      </c>
      <c r="B490" s="483" t="s">
        <v>226</v>
      </c>
      <c r="C490" s="484"/>
      <c r="D490" s="64">
        <v>23112.24</v>
      </c>
      <c r="E490" s="64">
        <f>115308+2000</f>
        <v>117308</v>
      </c>
      <c r="F490" s="64">
        <v>87106.03</v>
      </c>
      <c r="G490" s="15">
        <f t="shared" si="22"/>
        <v>3.7688268207668316</v>
      </c>
      <c r="H490" s="16">
        <f t="shared" si="23"/>
        <v>0.7425412589081734</v>
      </c>
      <c r="I490" s="16">
        <f>F490/F484</f>
        <v>0.2929314153113025</v>
      </c>
    </row>
    <row r="491" spans="1:9" ht="18.75" customHeight="1">
      <c r="A491" s="35">
        <v>1380</v>
      </c>
      <c r="B491" s="530" t="s">
        <v>227</v>
      </c>
      <c r="C491" s="531"/>
      <c r="D491" s="66">
        <f>D492</f>
        <v>0</v>
      </c>
      <c r="E491" s="66">
        <f>E492</f>
        <v>0</v>
      </c>
      <c r="F491" s="66">
        <f>F492</f>
        <v>0</v>
      </c>
      <c r="G491" s="20" t="e">
        <f t="shared" si="22"/>
        <v>#DIV/0!</v>
      </c>
      <c r="H491" s="21" t="e">
        <f t="shared" si="23"/>
        <v>#DIV/0!</v>
      </c>
      <c r="I491" s="21">
        <f>F491/F522</f>
        <v>0</v>
      </c>
    </row>
    <row r="492" spans="1:9" ht="18.75" customHeight="1">
      <c r="A492" s="24">
        <v>13820</v>
      </c>
      <c r="B492" s="483" t="s">
        <v>228</v>
      </c>
      <c r="C492" s="484"/>
      <c r="D492" s="64">
        <v>0</v>
      </c>
      <c r="E492" s="64">
        <v>0</v>
      </c>
      <c r="F492" s="64">
        <v>0</v>
      </c>
      <c r="G492" s="15" t="e">
        <f t="shared" si="22"/>
        <v>#DIV/0!</v>
      </c>
      <c r="H492" s="16" t="e">
        <f t="shared" si="23"/>
        <v>#DIV/0!</v>
      </c>
      <c r="I492" s="16" t="e">
        <f>F492/F491</f>
        <v>#DIV/0!</v>
      </c>
    </row>
    <row r="493" spans="1:9" ht="18.75" customHeight="1">
      <c r="A493" s="35">
        <v>1390</v>
      </c>
      <c r="B493" s="530" t="s">
        <v>229</v>
      </c>
      <c r="C493" s="531"/>
      <c r="D493" s="66">
        <f>D494</f>
        <v>0</v>
      </c>
      <c r="E493" s="66">
        <f>E494</f>
        <v>260</v>
      </c>
      <c r="F493" s="66">
        <f>F494</f>
        <v>0</v>
      </c>
      <c r="G493" s="20" t="e">
        <f t="shared" si="22"/>
        <v>#DIV/0!</v>
      </c>
      <c r="H493" s="21">
        <f t="shared" si="23"/>
        <v>0</v>
      </c>
      <c r="I493" s="21">
        <f>F493/F522</f>
        <v>0</v>
      </c>
    </row>
    <row r="494" spans="1:9" ht="18.75" customHeight="1">
      <c r="A494" s="24">
        <v>13912</v>
      </c>
      <c r="B494" s="483" t="s">
        <v>230</v>
      </c>
      <c r="C494" s="484"/>
      <c r="D494" s="64">
        <v>0</v>
      </c>
      <c r="E494" s="64">
        <v>260</v>
      </c>
      <c r="F494" s="64">
        <v>0</v>
      </c>
      <c r="G494" s="15" t="e">
        <f t="shared" si="22"/>
        <v>#DIV/0!</v>
      </c>
      <c r="H494" s="16">
        <f t="shared" si="23"/>
        <v>0</v>
      </c>
      <c r="I494" s="16" t="e">
        <f>F494/F493</f>
        <v>#DIV/0!</v>
      </c>
    </row>
    <row r="495" spans="1:9" ht="18.75" customHeight="1">
      <c r="A495" s="35">
        <v>1395</v>
      </c>
      <c r="B495" s="530" t="s">
        <v>1143</v>
      </c>
      <c r="C495" s="531"/>
      <c r="D495" s="66">
        <f>D496+D497+D498+D500</f>
        <v>2046.2400000000002</v>
      </c>
      <c r="E495" s="66">
        <f>E496+E497+E498+E500</f>
        <v>52150</v>
      </c>
      <c r="F495" s="66">
        <f>F496+F497+F498+F500</f>
        <v>4586.389999999999</v>
      </c>
      <c r="G495" s="20">
        <f t="shared" si="22"/>
        <v>2.2413744233325508</v>
      </c>
      <c r="H495" s="21">
        <f t="shared" si="23"/>
        <v>0.08794611697027803</v>
      </c>
      <c r="I495" s="21">
        <f>F495/F522</f>
        <v>0.00559271671196512</v>
      </c>
    </row>
    <row r="496" spans="1:9" ht="18.75" customHeight="1">
      <c r="A496" s="24">
        <v>13950</v>
      </c>
      <c r="B496" s="483" t="s">
        <v>231</v>
      </c>
      <c r="C496" s="484"/>
      <c r="D496" s="64">
        <v>1163.16</v>
      </c>
      <c r="E496" s="64">
        <f>29550+500</f>
        <v>30050</v>
      </c>
      <c r="F496" s="64">
        <v>1590.92</v>
      </c>
      <c r="G496" s="15">
        <f t="shared" si="22"/>
        <v>1.36775680044018</v>
      </c>
      <c r="H496" s="16">
        <f t="shared" si="23"/>
        <v>0.05294242928452579</v>
      </c>
      <c r="I496" s="16">
        <f>F496/F495</f>
        <v>0.3468784817688858</v>
      </c>
    </row>
    <row r="497" spans="1:9" ht="18.75" customHeight="1">
      <c r="A497" s="24">
        <v>13951</v>
      </c>
      <c r="B497" s="483" t="s">
        <v>232</v>
      </c>
      <c r="C497" s="484"/>
      <c r="D497" s="64">
        <v>883.08</v>
      </c>
      <c r="E497" s="64">
        <v>0</v>
      </c>
      <c r="F497" s="64">
        <v>2995.47</v>
      </c>
      <c r="G497" s="15">
        <f t="shared" si="22"/>
        <v>3.392070933550754</v>
      </c>
      <c r="H497" s="16" t="e">
        <f t="shared" si="23"/>
        <v>#DIV/0!</v>
      </c>
      <c r="I497" s="16">
        <f>F497/F495</f>
        <v>0.6531215182311143</v>
      </c>
    </row>
    <row r="498" spans="1:9" ht="18.75" customHeight="1">
      <c r="A498" s="24">
        <v>13952</v>
      </c>
      <c r="B498" s="483" t="s">
        <v>1070</v>
      </c>
      <c r="C498" s="484"/>
      <c r="D498" s="64">
        <v>0</v>
      </c>
      <c r="E498" s="64">
        <v>0</v>
      </c>
      <c r="F498" s="64">
        <v>0</v>
      </c>
      <c r="G498" s="15" t="e">
        <f t="shared" si="22"/>
        <v>#DIV/0!</v>
      </c>
      <c r="H498" s="16" t="e">
        <f t="shared" si="23"/>
        <v>#DIV/0!</v>
      </c>
      <c r="I498" s="16">
        <f>F498/F495</f>
        <v>0</v>
      </c>
    </row>
    <row r="499" spans="1:9" ht="18.75" customHeight="1">
      <c r="A499" s="579">
        <v>7</v>
      </c>
      <c r="B499" s="579"/>
      <c r="C499" s="579"/>
      <c r="D499" s="579"/>
      <c r="E499" s="579"/>
      <c r="F499" s="579"/>
      <c r="G499" s="579"/>
      <c r="H499" s="579"/>
      <c r="I499" s="579"/>
    </row>
    <row r="500" spans="1:9" ht="18.75" customHeight="1">
      <c r="A500" s="44">
        <v>13953</v>
      </c>
      <c r="B500" s="577" t="s">
        <v>233</v>
      </c>
      <c r="C500" s="578"/>
      <c r="D500" s="274">
        <v>0</v>
      </c>
      <c r="E500" s="274">
        <v>22100</v>
      </c>
      <c r="F500" s="274">
        <v>0</v>
      </c>
      <c r="G500" s="275" t="e">
        <f aca="true" t="shared" si="24" ref="G500:G522">F500/D500</f>
        <v>#DIV/0!</v>
      </c>
      <c r="H500" s="276">
        <f aca="true" t="shared" si="25" ref="H500:H522">F500/E500</f>
        <v>0</v>
      </c>
      <c r="I500" s="276">
        <f>F500/F495</f>
        <v>0</v>
      </c>
    </row>
    <row r="501" spans="1:9" ht="18.75" customHeight="1">
      <c r="A501" s="35">
        <v>1400</v>
      </c>
      <c r="B501" s="530" t="s">
        <v>234</v>
      </c>
      <c r="C501" s="531"/>
      <c r="D501" s="66">
        <f>D502+D503+D504+D505+D506+D507+D508</f>
        <v>15228.7</v>
      </c>
      <c r="E501" s="66">
        <f>E502+E503+E504+E505+E506+E507+E508</f>
        <v>271980</v>
      </c>
      <c r="F501" s="66">
        <f>F502+F503+F504+F505+F506+F507+F508</f>
        <v>66791</v>
      </c>
      <c r="G501" s="20">
        <f t="shared" si="24"/>
        <v>4.385863533985172</v>
      </c>
      <c r="H501" s="21">
        <f t="shared" si="25"/>
        <v>0.24557320391205237</v>
      </c>
      <c r="I501" s="21">
        <f>F501/F522</f>
        <v>0.08144600479001184</v>
      </c>
    </row>
    <row r="502" spans="1:9" ht="18.75" customHeight="1">
      <c r="A502" s="24">
        <v>14010</v>
      </c>
      <c r="B502" s="483" t="s">
        <v>235</v>
      </c>
      <c r="C502" s="484"/>
      <c r="D502" s="64">
        <v>6758.07</v>
      </c>
      <c r="E502" s="64">
        <f>55600+1500</f>
        <v>57100</v>
      </c>
      <c r="F502" s="64">
        <v>49897.29</v>
      </c>
      <c r="G502" s="15">
        <f t="shared" si="24"/>
        <v>7.383363889394458</v>
      </c>
      <c r="H502" s="16">
        <f t="shared" si="25"/>
        <v>0.8738579684763573</v>
      </c>
      <c r="I502" s="16">
        <f>F502/F501</f>
        <v>0.7470660717761375</v>
      </c>
    </row>
    <row r="503" spans="1:9" ht="18.75" customHeight="1">
      <c r="A503" s="24">
        <v>14020</v>
      </c>
      <c r="B503" s="483" t="s">
        <v>236</v>
      </c>
      <c r="C503" s="484"/>
      <c r="D503" s="64">
        <v>2601.6</v>
      </c>
      <c r="E503" s="64">
        <f>76804+13026</f>
        <v>89830</v>
      </c>
      <c r="F503" s="64">
        <v>4245.6</v>
      </c>
      <c r="G503" s="15">
        <f t="shared" si="24"/>
        <v>1.6319188191881921</v>
      </c>
      <c r="H503" s="16">
        <f t="shared" si="25"/>
        <v>0.04726260714683291</v>
      </c>
      <c r="I503" s="16">
        <f>F503/F501</f>
        <v>0.06356545043493884</v>
      </c>
    </row>
    <row r="504" spans="1:9" ht="18.75" customHeight="1">
      <c r="A504" s="24">
        <v>14023</v>
      </c>
      <c r="B504" s="483" t="s">
        <v>237</v>
      </c>
      <c r="C504" s="484"/>
      <c r="D504" s="64">
        <v>597.4</v>
      </c>
      <c r="E504" s="64">
        <v>0</v>
      </c>
      <c r="F504" s="64">
        <v>1539.02</v>
      </c>
      <c r="G504" s="15">
        <f t="shared" si="24"/>
        <v>2.576196853029796</v>
      </c>
      <c r="H504" s="16" t="e">
        <f t="shared" si="25"/>
        <v>#DIV/0!</v>
      </c>
      <c r="I504" s="16">
        <f>F504/F501</f>
        <v>0.023042326061894568</v>
      </c>
    </row>
    <row r="505" spans="1:9" ht="18.75" customHeight="1">
      <c r="A505" s="24">
        <v>14030</v>
      </c>
      <c r="B505" s="483" t="s">
        <v>238</v>
      </c>
      <c r="C505" s="484"/>
      <c r="D505" s="64">
        <v>0</v>
      </c>
      <c r="E505" s="64">
        <v>109550</v>
      </c>
      <c r="F505" s="64">
        <v>0</v>
      </c>
      <c r="G505" s="15" t="e">
        <f t="shared" si="24"/>
        <v>#DIV/0!</v>
      </c>
      <c r="H505" s="16">
        <f t="shared" si="25"/>
        <v>0</v>
      </c>
      <c r="I505" s="16">
        <f>F505/F501</f>
        <v>0</v>
      </c>
    </row>
    <row r="506" spans="1:9" ht="18.75" customHeight="1">
      <c r="A506" s="24">
        <v>14032</v>
      </c>
      <c r="B506" s="483" t="s">
        <v>239</v>
      </c>
      <c r="C506" s="484"/>
      <c r="D506" s="64">
        <v>0</v>
      </c>
      <c r="E506" s="64">
        <v>0</v>
      </c>
      <c r="F506" s="64">
        <v>0</v>
      </c>
      <c r="G506" s="15" t="e">
        <f t="shared" si="24"/>
        <v>#DIV/0!</v>
      </c>
      <c r="H506" s="16" t="e">
        <f t="shared" si="25"/>
        <v>#DIV/0!</v>
      </c>
      <c r="I506" s="16">
        <f>F506/F501</f>
        <v>0</v>
      </c>
    </row>
    <row r="507" spans="1:9" ht="18.75" customHeight="1">
      <c r="A507" s="24">
        <v>14040</v>
      </c>
      <c r="B507" s="483" t="s">
        <v>240</v>
      </c>
      <c r="C507" s="484"/>
      <c r="D507" s="64">
        <v>0</v>
      </c>
      <c r="E507" s="64">
        <v>5250</v>
      </c>
      <c r="F507" s="64">
        <v>0</v>
      </c>
      <c r="G507" s="15" t="e">
        <f t="shared" si="24"/>
        <v>#DIV/0!</v>
      </c>
      <c r="H507" s="16">
        <f t="shared" si="25"/>
        <v>0</v>
      </c>
      <c r="I507" s="16">
        <f>F507/F501</f>
        <v>0</v>
      </c>
    </row>
    <row r="508" spans="1:9" ht="18.75" customHeight="1">
      <c r="A508" s="24">
        <v>14050</v>
      </c>
      <c r="B508" s="483" t="s">
        <v>241</v>
      </c>
      <c r="C508" s="484"/>
      <c r="D508" s="64">
        <v>5271.63</v>
      </c>
      <c r="E508" s="64">
        <f>9250+1000</f>
        <v>10250</v>
      </c>
      <c r="F508" s="64">
        <v>11109.09</v>
      </c>
      <c r="G508" s="15">
        <f t="shared" si="24"/>
        <v>2.1073349229744878</v>
      </c>
      <c r="H508" s="69">
        <f t="shared" si="25"/>
        <v>1.0838136585365854</v>
      </c>
      <c r="I508" s="16">
        <f>F508/F501</f>
        <v>0.16632615172702908</v>
      </c>
    </row>
    <row r="509" spans="1:9" ht="18.75" customHeight="1">
      <c r="A509" s="35">
        <v>1410</v>
      </c>
      <c r="B509" s="530" t="s">
        <v>242</v>
      </c>
      <c r="C509" s="531"/>
      <c r="D509" s="66">
        <f>D510+D512+D511</f>
        <v>0</v>
      </c>
      <c r="E509" s="66">
        <f>E510+E511+E512</f>
        <v>0</v>
      </c>
      <c r="F509" s="66">
        <f>F510+F512+F511</f>
        <v>0</v>
      </c>
      <c r="G509" s="20" t="e">
        <f t="shared" si="24"/>
        <v>#DIV/0!</v>
      </c>
      <c r="H509" s="21" t="e">
        <f t="shared" si="25"/>
        <v>#DIV/0!</v>
      </c>
      <c r="I509" s="21">
        <f>F509/F522</f>
        <v>0</v>
      </c>
    </row>
    <row r="510" spans="1:9" ht="18.75" customHeight="1">
      <c r="A510" s="71">
        <v>14110</v>
      </c>
      <c r="B510" s="566" t="s">
        <v>243</v>
      </c>
      <c r="C510" s="567"/>
      <c r="D510" s="64">
        <v>0</v>
      </c>
      <c r="E510" s="64">
        <v>0</v>
      </c>
      <c r="F510" s="64">
        <v>0</v>
      </c>
      <c r="G510" s="15" t="e">
        <f t="shared" si="24"/>
        <v>#DIV/0!</v>
      </c>
      <c r="H510" s="16" t="e">
        <f t="shared" si="25"/>
        <v>#DIV/0!</v>
      </c>
      <c r="I510" s="16" t="e">
        <f>F510/F509</f>
        <v>#DIV/0!</v>
      </c>
    </row>
    <row r="511" spans="1:9" ht="18.75" customHeight="1">
      <c r="A511" s="24">
        <v>14130</v>
      </c>
      <c r="B511" s="483" t="s">
        <v>244</v>
      </c>
      <c r="C511" s="484"/>
      <c r="D511" s="64">
        <v>0</v>
      </c>
      <c r="E511" s="64">
        <v>0</v>
      </c>
      <c r="F511" s="64">
        <v>0</v>
      </c>
      <c r="G511" s="15" t="e">
        <f t="shared" si="24"/>
        <v>#DIV/0!</v>
      </c>
      <c r="H511" s="16" t="e">
        <f t="shared" si="25"/>
        <v>#DIV/0!</v>
      </c>
      <c r="I511" s="16" t="e">
        <f>F511/F509</f>
        <v>#DIV/0!</v>
      </c>
    </row>
    <row r="512" spans="1:9" ht="18.75" customHeight="1">
      <c r="A512" s="24">
        <v>14150</v>
      </c>
      <c r="B512" s="483" t="s">
        <v>245</v>
      </c>
      <c r="C512" s="484"/>
      <c r="D512" s="64">
        <v>0</v>
      </c>
      <c r="E512" s="64">
        <v>0</v>
      </c>
      <c r="F512" s="64">
        <v>0</v>
      </c>
      <c r="G512" s="15" t="e">
        <f t="shared" si="24"/>
        <v>#DIV/0!</v>
      </c>
      <c r="H512" s="16" t="e">
        <f t="shared" si="25"/>
        <v>#DIV/0!</v>
      </c>
      <c r="I512" s="16" t="e">
        <f>F512/F509</f>
        <v>#DIV/0!</v>
      </c>
    </row>
    <row r="513" spans="1:9" ht="18.75" customHeight="1">
      <c r="A513" s="35">
        <v>1420</v>
      </c>
      <c r="B513" s="530" t="s">
        <v>246</v>
      </c>
      <c r="C513" s="531"/>
      <c r="D513" s="66">
        <f>D514+D515+D516</f>
        <v>3861</v>
      </c>
      <c r="E513" s="66">
        <f>E514+E515+E516</f>
        <v>23600</v>
      </c>
      <c r="F513" s="66">
        <f>F514+F515+F516</f>
        <v>8196.7</v>
      </c>
      <c r="G513" s="20">
        <f t="shared" si="24"/>
        <v>2.1229474229474232</v>
      </c>
      <c r="H513" s="21">
        <f t="shared" si="25"/>
        <v>0.34731779661016954</v>
      </c>
      <c r="I513" s="21">
        <f>F513/F522</f>
        <v>0.009995185990062883</v>
      </c>
    </row>
    <row r="514" spans="1:9" ht="18.75" customHeight="1">
      <c r="A514" s="24">
        <v>14210</v>
      </c>
      <c r="B514" s="483" t="s">
        <v>247</v>
      </c>
      <c r="C514" s="484"/>
      <c r="D514" s="64">
        <v>0</v>
      </c>
      <c r="E514" s="64">
        <v>15500</v>
      </c>
      <c r="F514" s="64">
        <v>1003</v>
      </c>
      <c r="G514" s="15" t="e">
        <f t="shared" si="24"/>
        <v>#DIV/0!</v>
      </c>
      <c r="H514" s="16">
        <f t="shared" si="25"/>
        <v>0.06470967741935484</v>
      </c>
      <c r="I514" s="16">
        <f>F514/F513</f>
        <v>0.12236631815242718</v>
      </c>
    </row>
    <row r="515" spans="1:9" ht="18.75" customHeight="1">
      <c r="A515" s="24">
        <v>14220</v>
      </c>
      <c r="B515" s="483" t="s">
        <v>248</v>
      </c>
      <c r="C515" s="484"/>
      <c r="D515" s="64">
        <v>3861</v>
      </c>
      <c r="E515" s="64">
        <v>4000</v>
      </c>
      <c r="F515" s="64">
        <v>2193.7</v>
      </c>
      <c r="G515" s="15">
        <f t="shared" si="24"/>
        <v>0.5681688681688681</v>
      </c>
      <c r="H515" s="16">
        <f t="shared" si="25"/>
        <v>0.5484249999999999</v>
      </c>
      <c r="I515" s="16">
        <f>F515/F513</f>
        <v>0.26763209584344916</v>
      </c>
    </row>
    <row r="516" spans="1:9" ht="18.75" customHeight="1">
      <c r="A516" s="24">
        <v>14230</v>
      </c>
      <c r="B516" s="483" t="s">
        <v>249</v>
      </c>
      <c r="C516" s="484"/>
      <c r="D516" s="64">
        <v>0</v>
      </c>
      <c r="E516" s="64">
        <v>4100</v>
      </c>
      <c r="F516" s="64">
        <v>5000</v>
      </c>
      <c r="G516" s="15" t="e">
        <f t="shared" si="24"/>
        <v>#DIV/0!</v>
      </c>
      <c r="H516" s="72">
        <f t="shared" si="25"/>
        <v>1.2195121951219512</v>
      </c>
      <c r="I516" s="16">
        <f>F516/F513</f>
        <v>0.6100015860041236</v>
      </c>
    </row>
    <row r="517" spans="1:9" ht="18.75" customHeight="1">
      <c r="A517" s="35">
        <v>1430</v>
      </c>
      <c r="B517" s="530" t="s">
        <v>250</v>
      </c>
      <c r="C517" s="531"/>
      <c r="D517" s="66">
        <f>D518</f>
        <v>7275.79</v>
      </c>
      <c r="E517" s="66">
        <f>E518</f>
        <v>43540</v>
      </c>
      <c r="F517" s="66">
        <f>F518</f>
        <v>11358.95</v>
      </c>
      <c r="G517" s="20">
        <f t="shared" si="24"/>
        <v>1.5611981654225866</v>
      </c>
      <c r="H517" s="21">
        <f t="shared" si="25"/>
        <v>0.26088539274230593</v>
      </c>
      <c r="I517" s="21">
        <f>F517/F522</f>
        <v>0.013851283797360496</v>
      </c>
    </row>
    <row r="518" spans="1:9" ht="18.75" customHeight="1">
      <c r="A518" s="24">
        <v>14310</v>
      </c>
      <c r="B518" s="483" t="s">
        <v>251</v>
      </c>
      <c r="C518" s="484"/>
      <c r="D518" s="64">
        <v>7275.79</v>
      </c>
      <c r="E518" s="64">
        <f>42540+1000</f>
        <v>43540</v>
      </c>
      <c r="F518" s="64">
        <v>11358.95</v>
      </c>
      <c r="G518" s="15">
        <f t="shared" si="24"/>
        <v>1.5611981654225866</v>
      </c>
      <c r="H518" s="16">
        <f t="shared" si="25"/>
        <v>0.26088539274230593</v>
      </c>
      <c r="I518" s="16">
        <f>F518/F517</f>
        <v>1</v>
      </c>
    </row>
    <row r="519" spans="1:9" ht="18.75" customHeight="1">
      <c r="A519" s="35">
        <v>1440</v>
      </c>
      <c r="B519" s="530" t="s">
        <v>252</v>
      </c>
      <c r="C519" s="531"/>
      <c r="D519" s="66">
        <f>D520+D521</f>
        <v>0</v>
      </c>
      <c r="E519" s="66">
        <f>E520+E521</f>
        <v>0</v>
      </c>
      <c r="F519" s="66">
        <f>F520+F521</f>
        <v>2746.65</v>
      </c>
      <c r="G519" s="20" t="e">
        <f t="shared" si="24"/>
        <v>#DIV/0!</v>
      </c>
      <c r="H519" s="21" t="e">
        <f t="shared" si="25"/>
        <v>#DIV/0!</v>
      </c>
      <c r="I519" s="21">
        <f>F519/F522</f>
        <v>0.0033493085753542543</v>
      </c>
    </row>
    <row r="520" spans="1:9" ht="18.75" customHeight="1">
      <c r="A520" s="24">
        <v>14410</v>
      </c>
      <c r="B520" s="483" t="s">
        <v>252</v>
      </c>
      <c r="C520" s="484"/>
      <c r="D520" s="64">
        <v>0</v>
      </c>
      <c r="E520" s="64">
        <v>0</v>
      </c>
      <c r="F520" s="64">
        <v>2746.65</v>
      </c>
      <c r="G520" s="15" t="e">
        <f t="shared" si="24"/>
        <v>#DIV/0!</v>
      </c>
      <c r="H520" s="16" t="e">
        <f t="shared" si="25"/>
        <v>#DIV/0!</v>
      </c>
      <c r="I520" s="16">
        <f>F520/F519</f>
        <v>1</v>
      </c>
    </row>
    <row r="521" spans="1:9" ht="18.75" customHeight="1">
      <c r="A521" s="24">
        <v>14460</v>
      </c>
      <c r="B521" s="483" t="s">
        <v>253</v>
      </c>
      <c r="C521" s="484"/>
      <c r="D521" s="64">
        <v>0</v>
      </c>
      <c r="E521" s="64">
        <v>0</v>
      </c>
      <c r="F521" s="64">
        <v>0</v>
      </c>
      <c r="G521" s="15" t="e">
        <f t="shared" si="24"/>
        <v>#DIV/0!</v>
      </c>
      <c r="H521" s="16" t="e">
        <f t="shared" si="25"/>
        <v>#DIV/0!</v>
      </c>
      <c r="I521" s="16">
        <f>F521/F520</f>
        <v>0</v>
      </c>
    </row>
    <row r="522" spans="1:9" ht="29.25" customHeight="1">
      <c r="A522" s="267"/>
      <c r="B522" s="495" t="s">
        <v>95</v>
      </c>
      <c r="C522" s="496"/>
      <c r="D522" s="268">
        <f>D519+D517+D513+D509+D501+D495+D493+D491+D484+D476+D467+D459+D455+D446</f>
        <v>159958.18000000002</v>
      </c>
      <c r="E522" s="268">
        <f>E446+E455+E459+E467+E476+E484+E491+E493+E495+E501+E509+E513+E517+E519</f>
        <v>1922520</v>
      </c>
      <c r="F522" s="268">
        <f>F446+F455+F459+F467+F476+F484+F491+F493+F495+F501+F509+F513+F517+F519</f>
        <v>820064.78</v>
      </c>
      <c r="G522" s="265">
        <f t="shared" si="24"/>
        <v>5.126744877942472</v>
      </c>
      <c r="H522" s="266">
        <f t="shared" si="25"/>
        <v>0.4265572165699187</v>
      </c>
      <c r="I522" s="266">
        <f>I446+I455+I459+I467+I476+I484+I491+I493+I495+I501+I509+I513+I517+I519</f>
        <v>0.9999999999999999</v>
      </c>
    </row>
    <row r="523" spans="1:9" ht="18.75" customHeight="1">
      <c r="A523" s="59"/>
      <c r="B523" s="59"/>
      <c r="C523" s="59"/>
      <c r="D523" s="59"/>
      <c r="E523" s="59"/>
      <c r="F523" s="73"/>
      <c r="G523" s="73"/>
      <c r="H523" s="74"/>
      <c r="I523" s="135"/>
    </row>
    <row r="524" spans="1:9" ht="18.75" customHeight="1">
      <c r="A524" s="486" t="s">
        <v>1071</v>
      </c>
      <c r="B524" s="486"/>
      <c r="C524" s="486"/>
      <c r="D524" s="486"/>
      <c r="E524" s="486"/>
      <c r="F524" s="486"/>
      <c r="G524" s="486"/>
      <c r="H524" s="486"/>
      <c r="I524" s="486"/>
    </row>
    <row r="525" spans="1:9" ht="18.75" customHeight="1">
      <c r="A525" s="486" t="s">
        <v>1072</v>
      </c>
      <c r="B525" s="486"/>
      <c r="C525" s="486"/>
      <c r="D525" s="486"/>
      <c r="E525" s="486"/>
      <c r="F525" s="486"/>
      <c r="G525" s="486"/>
      <c r="H525" s="486"/>
      <c r="I525" s="486"/>
    </row>
    <row r="526" spans="1:9" ht="18.75" customHeight="1">
      <c r="A526" s="59"/>
      <c r="B526" s="59"/>
      <c r="C526" s="59"/>
      <c r="D526" s="59"/>
      <c r="E526" s="59"/>
      <c r="F526" s="59"/>
      <c r="G526" s="59"/>
      <c r="H526" s="59"/>
      <c r="I526" s="135"/>
    </row>
    <row r="527" spans="1:9" ht="18.75" customHeight="1">
      <c r="A527" s="59"/>
      <c r="B527" s="59"/>
      <c r="C527" s="59"/>
      <c r="D527" s="41" t="s">
        <v>682</v>
      </c>
      <c r="E527" s="59"/>
      <c r="F527" s="59"/>
      <c r="G527" s="59"/>
      <c r="H527" s="59"/>
      <c r="I527" s="135"/>
    </row>
    <row r="528" spans="1:9" ht="18.75" customHeight="1">
      <c r="A528" s="59"/>
      <c r="B528" s="59"/>
      <c r="C528" s="59"/>
      <c r="D528" s="59"/>
      <c r="E528" s="59"/>
      <c r="F528" s="59"/>
      <c r="G528" s="59"/>
      <c r="H528" s="59"/>
      <c r="I528" s="135"/>
    </row>
    <row r="529" spans="1:9" ht="18.75" customHeight="1">
      <c r="A529" s="22" t="s">
        <v>683</v>
      </c>
      <c r="B529" s="491" t="s">
        <v>688</v>
      </c>
      <c r="C529" s="492"/>
      <c r="D529" s="5" t="s">
        <v>686</v>
      </c>
      <c r="E529" s="5" t="s">
        <v>712</v>
      </c>
      <c r="F529" s="5" t="s">
        <v>686</v>
      </c>
      <c r="G529" s="192" t="s">
        <v>713</v>
      </c>
      <c r="H529" s="193"/>
      <c r="I529" s="6" t="s">
        <v>714</v>
      </c>
    </row>
    <row r="530" spans="1:9" ht="18.75" customHeight="1">
      <c r="A530" s="23" t="s">
        <v>684</v>
      </c>
      <c r="B530" s="493"/>
      <c r="C530" s="494"/>
      <c r="D530" s="7" t="s">
        <v>708</v>
      </c>
      <c r="E530" s="7" t="s">
        <v>715</v>
      </c>
      <c r="F530" s="7" t="s">
        <v>716</v>
      </c>
      <c r="G530" s="8" t="s">
        <v>706</v>
      </c>
      <c r="H530" s="9" t="s">
        <v>707</v>
      </c>
      <c r="I530" s="10" t="s">
        <v>717</v>
      </c>
    </row>
    <row r="531" spans="1:9" ht="18.75" customHeight="1">
      <c r="A531" s="63">
        <v>1</v>
      </c>
      <c r="B531" s="546">
        <v>2</v>
      </c>
      <c r="C531" s="547"/>
      <c r="D531" s="233">
        <v>3</v>
      </c>
      <c r="E531" s="12">
        <v>4</v>
      </c>
      <c r="F531" s="12">
        <v>5</v>
      </c>
      <c r="G531" s="12">
        <v>6</v>
      </c>
      <c r="H531" s="12">
        <v>7</v>
      </c>
      <c r="I531" s="13">
        <v>8</v>
      </c>
    </row>
    <row r="532" spans="1:9" ht="18.75" customHeight="1">
      <c r="A532" s="24">
        <v>16019</v>
      </c>
      <c r="B532" s="483" t="s">
        <v>71</v>
      </c>
      <c r="C532" s="484"/>
      <c r="D532" s="234">
        <v>10967.23</v>
      </c>
      <c r="E532" s="14">
        <v>56200</v>
      </c>
      <c r="F532" s="14">
        <v>18867.68</v>
      </c>
      <c r="G532" s="15">
        <f aca="true" t="shared" si="26" ref="G532:G557">F532/D532</f>
        <v>1.7203687713305913</v>
      </c>
      <c r="H532" s="16">
        <f aca="true" t="shared" si="27" ref="H532:H557">F532/E532</f>
        <v>0.3357238434163701</v>
      </c>
      <c r="I532" s="16">
        <f>F532/F557</f>
        <v>0.023007548257346206</v>
      </c>
    </row>
    <row r="533" spans="1:9" ht="18.75" customHeight="1">
      <c r="A533" s="24">
        <v>16319</v>
      </c>
      <c r="B533" s="483" t="s">
        <v>72</v>
      </c>
      <c r="C533" s="484"/>
      <c r="D533" s="234">
        <v>35536.52</v>
      </c>
      <c r="E533" s="14">
        <v>251398</v>
      </c>
      <c r="F533" s="14">
        <f>64311.91+46008.42</f>
        <v>110320.33</v>
      </c>
      <c r="G533" s="15">
        <f t="shared" si="26"/>
        <v>3.1044213108092746</v>
      </c>
      <c r="H533" s="16">
        <f t="shared" si="27"/>
        <v>0.4388273971948862</v>
      </c>
      <c r="I533" s="16">
        <f>F533/F557</f>
        <v>0.13452636022242048</v>
      </c>
    </row>
    <row r="534" spans="1:9" ht="18.75" customHeight="1">
      <c r="A534" s="24">
        <v>16637</v>
      </c>
      <c r="B534" s="483" t="s">
        <v>73</v>
      </c>
      <c r="C534" s="484"/>
      <c r="D534" s="234">
        <v>8624.89</v>
      </c>
      <c r="E534" s="14">
        <v>54500</v>
      </c>
      <c r="F534" s="14">
        <v>17720.47</v>
      </c>
      <c r="G534" s="15">
        <f t="shared" si="26"/>
        <v>2.0545734496324015</v>
      </c>
      <c r="H534" s="16">
        <f t="shared" si="27"/>
        <v>0.3251462385321101</v>
      </c>
      <c r="I534" s="16">
        <f>F534/F557</f>
        <v>0.0216086221871399</v>
      </c>
    </row>
    <row r="535" spans="1:9" ht="18.75" customHeight="1">
      <c r="A535" s="24">
        <v>16795</v>
      </c>
      <c r="B535" s="483" t="s">
        <v>74</v>
      </c>
      <c r="C535" s="484"/>
      <c r="D535" s="234">
        <v>0</v>
      </c>
      <c r="E535" s="14">
        <v>5000</v>
      </c>
      <c r="F535" s="14">
        <v>1499.67</v>
      </c>
      <c r="G535" s="15" t="e">
        <f t="shared" si="26"/>
        <v>#DIV/0!</v>
      </c>
      <c r="H535" s="16">
        <f t="shared" si="27"/>
        <v>0.29993400000000003</v>
      </c>
      <c r="I535" s="16">
        <f>F535/F557</f>
        <v>0.0018287213846691478</v>
      </c>
    </row>
    <row r="536" spans="1:9" ht="18.75" customHeight="1">
      <c r="A536" s="24">
        <v>16919</v>
      </c>
      <c r="B536" s="483" t="s">
        <v>75</v>
      </c>
      <c r="C536" s="484"/>
      <c r="D536" s="234">
        <v>0</v>
      </c>
      <c r="E536" s="14">
        <v>5000</v>
      </c>
      <c r="F536" s="14">
        <v>1536.15</v>
      </c>
      <c r="G536" s="15" t="e">
        <f t="shared" si="26"/>
        <v>#DIV/0!</v>
      </c>
      <c r="H536" s="16">
        <f t="shared" si="27"/>
        <v>0.30723</v>
      </c>
      <c r="I536" s="16">
        <f>F536/F557</f>
        <v>0.0018732056752882376</v>
      </c>
    </row>
    <row r="537" spans="1:9" ht="18.75" customHeight="1">
      <c r="A537" s="24">
        <v>17519</v>
      </c>
      <c r="B537" s="483" t="s">
        <v>76</v>
      </c>
      <c r="C537" s="484"/>
      <c r="D537" s="234">
        <v>9241.67</v>
      </c>
      <c r="E537" s="14">
        <v>52000</v>
      </c>
      <c r="F537" s="14">
        <f>23218.66+46797.88</f>
        <v>70016.54</v>
      </c>
      <c r="G537" s="15">
        <f t="shared" si="26"/>
        <v>7.576178331405471</v>
      </c>
      <c r="H537" s="69">
        <f t="shared" si="27"/>
        <v>1.3464719230769229</v>
      </c>
      <c r="I537" s="16">
        <f>F537/F557</f>
        <v>0.08537927942716915</v>
      </c>
    </row>
    <row r="538" spans="1:9" ht="18.75" customHeight="1">
      <c r="A538" s="24">
        <v>18019</v>
      </c>
      <c r="B538" s="483" t="s">
        <v>77</v>
      </c>
      <c r="C538" s="484"/>
      <c r="D538" s="234">
        <f>300+360.36+85+99+309.5+279.6+90+300</f>
        <v>1823.46</v>
      </c>
      <c r="E538" s="14">
        <v>120000</v>
      </c>
      <c r="F538" s="14">
        <v>1252.84</v>
      </c>
      <c r="G538" s="15">
        <f t="shared" si="26"/>
        <v>0.6870674432123545</v>
      </c>
      <c r="H538" s="16">
        <f t="shared" si="27"/>
        <v>0.010440333333333333</v>
      </c>
      <c r="I538" s="16">
        <f>F538/F557</f>
        <v>0.0015277329676321423</v>
      </c>
    </row>
    <row r="539" spans="1:9" ht="18.75" customHeight="1">
      <c r="A539" s="24">
        <v>18423</v>
      </c>
      <c r="B539" s="483" t="s">
        <v>78</v>
      </c>
      <c r="C539" s="484"/>
      <c r="D539" s="234">
        <v>9518.66</v>
      </c>
      <c r="E539" s="14">
        <v>46000</v>
      </c>
      <c r="F539" s="14">
        <v>30482.27</v>
      </c>
      <c r="G539" s="15">
        <f t="shared" si="26"/>
        <v>3.20236987138946</v>
      </c>
      <c r="H539" s="16">
        <f t="shared" si="27"/>
        <v>0.6626580434782608</v>
      </c>
      <c r="I539" s="16">
        <f>F539/F557</f>
        <v>0.03717056352548149</v>
      </c>
    </row>
    <row r="540" spans="1:9" ht="18.75" customHeight="1">
      <c r="A540" s="24">
        <v>19595</v>
      </c>
      <c r="B540" s="483" t="s">
        <v>79</v>
      </c>
      <c r="C540" s="484"/>
      <c r="D540" s="234">
        <f>300+531+1001.13+883.08+630.76+300</f>
        <v>3645.9700000000003</v>
      </c>
      <c r="E540" s="14">
        <v>37700</v>
      </c>
      <c r="F540" s="14">
        <v>6925.73</v>
      </c>
      <c r="G540" s="15">
        <f t="shared" si="26"/>
        <v>1.8995575937267721</v>
      </c>
      <c r="H540" s="16">
        <f t="shared" si="27"/>
        <v>0.18370636604774535</v>
      </c>
      <c r="I540" s="16">
        <f>F540/F557</f>
        <v>0.008445345012865934</v>
      </c>
    </row>
    <row r="541" spans="1:9" ht="18.75" customHeight="1">
      <c r="A541" s="24">
        <v>47019</v>
      </c>
      <c r="B541" s="483" t="s">
        <v>80</v>
      </c>
      <c r="C541" s="484"/>
      <c r="D541" s="234">
        <v>3221.14</v>
      </c>
      <c r="E541" s="14">
        <v>30000</v>
      </c>
      <c r="F541" s="14">
        <v>4069.93</v>
      </c>
      <c r="G541" s="15">
        <f t="shared" si="26"/>
        <v>1.2635060879067659</v>
      </c>
      <c r="H541" s="16">
        <f t="shared" si="27"/>
        <v>0.13566433333333333</v>
      </c>
      <c r="I541" s="16">
        <f>F541/F557</f>
        <v>0.0049629371962541784</v>
      </c>
    </row>
    <row r="542" spans="1:9" ht="18.75" customHeight="1">
      <c r="A542" s="24">
        <v>48019</v>
      </c>
      <c r="B542" s="483" t="s">
        <v>81</v>
      </c>
      <c r="C542" s="484"/>
      <c r="D542" s="234">
        <v>0</v>
      </c>
      <c r="E542" s="14">
        <v>8400</v>
      </c>
      <c r="F542" s="14">
        <f>1701.54+12050.2</f>
        <v>13751.740000000002</v>
      </c>
      <c r="G542" s="15" t="e">
        <f t="shared" si="26"/>
        <v>#DIV/0!</v>
      </c>
      <c r="H542" s="69">
        <f t="shared" si="27"/>
        <v>1.637111904761905</v>
      </c>
      <c r="I542" s="16">
        <f>F542/F557</f>
        <v>0.016769089876046136</v>
      </c>
    </row>
    <row r="543" spans="1:9" ht="18.75" customHeight="1">
      <c r="A543" s="24">
        <v>65095</v>
      </c>
      <c r="B543" s="483" t="s">
        <v>82</v>
      </c>
      <c r="C543" s="484"/>
      <c r="D543" s="234">
        <v>3485.52</v>
      </c>
      <c r="E543" s="14">
        <v>13900</v>
      </c>
      <c r="F543" s="14">
        <f>3548.31+9157.68</f>
        <v>12705.99</v>
      </c>
      <c r="G543" s="15">
        <f t="shared" si="26"/>
        <v>3.6453642498106453</v>
      </c>
      <c r="H543" s="16">
        <f t="shared" si="27"/>
        <v>0.9141</v>
      </c>
      <c r="I543" s="16">
        <f>F543/F557</f>
        <v>0.015493885739124169</v>
      </c>
    </row>
    <row r="544" spans="1:9" ht="18.75" customHeight="1">
      <c r="A544" s="24">
        <v>65495</v>
      </c>
      <c r="B544" s="483" t="s">
        <v>83</v>
      </c>
      <c r="C544" s="484"/>
      <c r="D544" s="234">
        <v>1814.16</v>
      </c>
      <c r="E544" s="14">
        <v>7000</v>
      </c>
      <c r="F544" s="14">
        <v>849.35</v>
      </c>
      <c r="G544" s="15">
        <f t="shared" si="26"/>
        <v>0.46817810997927417</v>
      </c>
      <c r="H544" s="16">
        <f t="shared" si="27"/>
        <v>0.12133571428571428</v>
      </c>
      <c r="I544" s="16">
        <f>F544/F557</f>
        <v>0.0010357108617687495</v>
      </c>
    </row>
    <row r="545" spans="1:9" ht="18.75" customHeight="1">
      <c r="A545" s="24">
        <v>66400</v>
      </c>
      <c r="B545" s="483" t="s">
        <v>84</v>
      </c>
      <c r="C545" s="484"/>
      <c r="D545" s="234">
        <v>0</v>
      </c>
      <c r="E545" s="75">
        <v>16000</v>
      </c>
      <c r="F545" s="14">
        <f>4631.24+3375.1</f>
        <v>8006.34</v>
      </c>
      <c r="G545" s="15" t="e">
        <f t="shared" si="26"/>
        <v>#DIV/0!</v>
      </c>
      <c r="H545" s="16">
        <f t="shared" si="27"/>
        <v>0.50039625</v>
      </c>
      <c r="I545" s="16">
        <f>F545/F557</f>
        <v>0.009763057986711732</v>
      </c>
    </row>
    <row r="546" spans="1:9" ht="18.75" customHeight="1">
      <c r="A546" s="35"/>
      <c r="B546" s="530" t="s">
        <v>85</v>
      </c>
      <c r="C546" s="531"/>
      <c r="D546" s="76">
        <f>D547+D548+D549</f>
        <v>30102.19</v>
      </c>
      <c r="E546" s="76">
        <f>E547+E548+E549</f>
        <v>414422</v>
      </c>
      <c r="F546" s="77">
        <f>F547+F548+F549</f>
        <v>244347.02</v>
      </c>
      <c r="G546" s="20">
        <f t="shared" si="26"/>
        <v>8.117250605354627</v>
      </c>
      <c r="H546" s="21">
        <f t="shared" si="27"/>
        <v>0.5896091906317714</v>
      </c>
      <c r="I546" s="21">
        <f>F546/F557</f>
        <v>0.2979606318417918</v>
      </c>
    </row>
    <row r="547" spans="1:9" ht="18.75" customHeight="1">
      <c r="A547" s="24">
        <v>73028</v>
      </c>
      <c r="B547" s="483" t="s">
        <v>86</v>
      </c>
      <c r="C547" s="484"/>
      <c r="D547" s="235">
        <v>500</v>
      </c>
      <c r="E547" s="14">
        <v>10000</v>
      </c>
      <c r="F547" s="14">
        <v>2430.73</v>
      </c>
      <c r="G547" s="15">
        <f t="shared" si="26"/>
        <v>4.86146</v>
      </c>
      <c r="H547" s="16">
        <f t="shared" si="27"/>
        <v>0.243073</v>
      </c>
      <c r="I547" s="16">
        <f>F547/F546</f>
        <v>0.009947860219453465</v>
      </c>
    </row>
    <row r="548" spans="1:9" ht="18.75" customHeight="1">
      <c r="A548" s="24">
        <v>74100</v>
      </c>
      <c r="B548" s="483" t="s">
        <v>87</v>
      </c>
      <c r="C548" s="484"/>
      <c r="D548" s="236">
        <v>28455.19</v>
      </c>
      <c r="E548" s="14">
        <v>379422</v>
      </c>
      <c r="F548" s="14">
        <f>168967.56+54231.68</f>
        <v>223199.24</v>
      </c>
      <c r="G548" s="15">
        <f t="shared" si="26"/>
        <v>7.843885069823818</v>
      </c>
      <c r="H548" s="16">
        <f t="shared" si="27"/>
        <v>0.5882611972948326</v>
      </c>
      <c r="I548" s="16">
        <f>F548/F546</f>
        <v>0.9134518603910128</v>
      </c>
    </row>
    <row r="549" spans="1:9" ht="18.75" customHeight="1">
      <c r="A549" s="24">
        <v>75590</v>
      </c>
      <c r="B549" s="483" t="s">
        <v>88</v>
      </c>
      <c r="C549" s="484"/>
      <c r="D549" s="236">
        <v>1147</v>
      </c>
      <c r="E549" s="14">
        <v>25000</v>
      </c>
      <c r="F549" s="14">
        <f>10166.05+8551</f>
        <v>18717.05</v>
      </c>
      <c r="G549" s="67">
        <f t="shared" si="26"/>
        <v>16.31826503923278</v>
      </c>
      <c r="H549" s="16">
        <f t="shared" si="27"/>
        <v>0.748682</v>
      </c>
      <c r="I549" s="16">
        <f>F549/F546</f>
        <v>0.07660027938953379</v>
      </c>
    </row>
    <row r="550" spans="1:9" ht="18.75" customHeight="1">
      <c r="A550" s="24">
        <v>76095</v>
      </c>
      <c r="B550" s="483" t="s">
        <v>89</v>
      </c>
      <c r="C550" s="484"/>
      <c r="D550" s="236">
        <v>0</v>
      </c>
      <c r="E550" s="78">
        <v>0</v>
      </c>
      <c r="F550" s="14">
        <v>0</v>
      </c>
      <c r="G550" s="15" t="e">
        <f t="shared" si="26"/>
        <v>#DIV/0!</v>
      </c>
      <c r="H550" s="16" t="e">
        <f t="shared" si="27"/>
        <v>#DIV/0!</v>
      </c>
      <c r="I550" s="16">
        <f>E550/E546</f>
        <v>0</v>
      </c>
    </row>
    <row r="551" spans="1:9" ht="18.75" customHeight="1">
      <c r="A551" s="24">
        <v>85019</v>
      </c>
      <c r="B551" s="483" t="s">
        <v>90</v>
      </c>
      <c r="C551" s="484"/>
      <c r="D551" s="234">
        <v>4305.78</v>
      </c>
      <c r="E551" s="78">
        <v>135000</v>
      </c>
      <c r="F551" s="14">
        <f>49351.06+18873.73</f>
        <v>68224.79</v>
      </c>
      <c r="G551" s="67">
        <f t="shared" si="26"/>
        <v>15.844931696463822</v>
      </c>
      <c r="H551" s="16">
        <f t="shared" si="27"/>
        <v>0.5053688148148148</v>
      </c>
      <c r="I551" s="16">
        <f>F551/F557</f>
        <v>0.08319439105774057</v>
      </c>
    </row>
    <row r="552" spans="1:9" ht="18.75" customHeight="1">
      <c r="A552" s="35"/>
      <c r="B552" s="530" t="s">
        <v>91</v>
      </c>
      <c r="C552" s="531"/>
      <c r="D552" s="76">
        <f>D553+D554+D555+D556</f>
        <v>37670.99</v>
      </c>
      <c r="E552" s="79">
        <f>E553+E554+E555+E556</f>
        <v>670000</v>
      </c>
      <c r="F552" s="18">
        <f>F553+F554+F555+F556</f>
        <v>209487.93999999997</v>
      </c>
      <c r="G552" s="20">
        <f t="shared" si="26"/>
        <v>5.5609884423000295</v>
      </c>
      <c r="H552" s="21">
        <f t="shared" si="27"/>
        <v>0.31266856716417907</v>
      </c>
      <c r="I552" s="21">
        <f>F552/F557</f>
        <v>0.25545291678054993</v>
      </c>
    </row>
    <row r="553" spans="1:9" ht="18.75" customHeight="1">
      <c r="A553" s="24">
        <v>92095</v>
      </c>
      <c r="B553" s="483" t="s">
        <v>86</v>
      </c>
      <c r="C553" s="484"/>
      <c r="D553" s="235">
        <v>5077.21</v>
      </c>
      <c r="E553" s="80">
        <v>349000</v>
      </c>
      <c r="F553" s="14">
        <f>89149.92+48694.63</f>
        <v>137844.55</v>
      </c>
      <c r="G553" s="67">
        <f t="shared" si="26"/>
        <v>27.149664875000244</v>
      </c>
      <c r="H553" s="16">
        <f t="shared" si="27"/>
        <v>0.39497005730659024</v>
      </c>
      <c r="I553" s="16">
        <f>F553/F552</f>
        <v>0.6580070910048569</v>
      </c>
    </row>
    <row r="554" spans="1:9" ht="18.75" customHeight="1">
      <c r="A554" s="24">
        <v>92570</v>
      </c>
      <c r="B554" s="483" t="s">
        <v>92</v>
      </c>
      <c r="C554" s="484"/>
      <c r="D554" s="235">
        <v>10222.78</v>
      </c>
      <c r="E554" s="80">
        <v>70000</v>
      </c>
      <c r="F554" s="14">
        <f>7087.12+7161.34</f>
        <v>14248.46</v>
      </c>
      <c r="G554" s="15">
        <f t="shared" si="26"/>
        <v>1.39379503422748</v>
      </c>
      <c r="H554" s="16">
        <f t="shared" si="27"/>
        <v>0.20354942857142855</v>
      </c>
      <c r="I554" s="16">
        <f>F554/F552</f>
        <v>0.06801565760778401</v>
      </c>
    </row>
    <row r="555" spans="1:9" ht="18.75" customHeight="1">
      <c r="A555" s="24">
        <v>93540</v>
      </c>
      <c r="B555" s="483" t="s">
        <v>93</v>
      </c>
      <c r="C555" s="484"/>
      <c r="D555" s="235">
        <v>10112.62</v>
      </c>
      <c r="E555" s="80">
        <v>169020</v>
      </c>
      <c r="F555" s="14">
        <f>3394.92+400+800+1528+200+1528+2100.11+1496+3737.05+3244.8+1002.2+1660.6+1149+99.9+800+3183.14+400+1626.63+746.99+400+420+1342.79+2658.92+3979.4+964.56+800+1755+920.34</f>
        <v>42338.35</v>
      </c>
      <c r="G555" s="15">
        <f t="shared" si="26"/>
        <v>4.186684558502148</v>
      </c>
      <c r="H555" s="16">
        <f t="shared" si="27"/>
        <v>0.2504931369068749</v>
      </c>
      <c r="I555" s="16">
        <f>F555/F552</f>
        <v>0.20210399701290682</v>
      </c>
    </row>
    <row r="556" spans="1:9" ht="18.75" customHeight="1">
      <c r="A556" s="24">
        <v>94740</v>
      </c>
      <c r="B556" s="483" t="s">
        <v>554</v>
      </c>
      <c r="C556" s="484"/>
      <c r="D556" s="235">
        <v>12258.38</v>
      </c>
      <c r="E556" s="80">
        <v>81980</v>
      </c>
      <c r="F556" s="14">
        <f>3689+3199.2+2310+600+3386.4+1324.3+547.68</f>
        <v>15056.58</v>
      </c>
      <c r="G556" s="15">
        <f t="shared" si="26"/>
        <v>1.2282683356202044</v>
      </c>
      <c r="H556" s="16">
        <f t="shared" si="27"/>
        <v>0.1836616247865333</v>
      </c>
      <c r="I556" s="16">
        <f>F556/F552</f>
        <v>0.0718732543744523</v>
      </c>
    </row>
    <row r="557" spans="1:9" ht="30" customHeight="1">
      <c r="A557" s="35"/>
      <c r="B557" s="495" t="s">
        <v>95</v>
      </c>
      <c r="C557" s="496"/>
      <c r="D557" s="263">
        <f>D533+D534+D535+D536+D537+D538+D539+D540+D541+D542+D543+D544+D545+D546+D551+D552</f>
        <v>148990.95</v>
      </c>
      <c r="E557" s="264">
        <f>E532+E533+E534+E535+E536+E537+E538+E539+E540+E541+E542+E543+E544+E545+E546+E551+E552</f>
        <v>1922520</v>
      </c>
      <c r="F557" s="264">
        <f>F532+F533+F534+F535+F536+F537+F538+F539+F540+F541+F542+F543+F544+F545+F546+F550+F551+F552</f>
        <v>820064.78</v>
      </c>
      <c r="G557" s="265">
        <f t="shared" si="26"/>
        <v>5.504124780733326</v>
      </c>
      <c r="H557" s="266">
        <f t="shared" si="27"/>
        <v>0.4265572165699187</v>
      </c>
      <c r="I557" s="266">
        <f>SUM(I532+I533+I534+I535+I536+I537+I538+I539+I540+I541+I542+I543+I544+I545+I546+I551+I552)</f>
        <v>1</v>
      </c>
    </row>
    <row r="558" spans="1:8" ht="18.75" customHeight="1">
      <c r="A558" s="176"/>
      <c r="B558" s="176"/>
      <c r="C558" s="205"/>
      <c r="D558" s="205"/>
      <c r="E558" s="205"/>
      <c r="F558" s="206"/>
      <c r="G558" s="207"/>
      <c r="H558" s="207"/>
    </row>
    <row r="559" spans="1:9" ht="18.75" customHeight="1">
      <c r="A559" s="486" t="s">
        <v>643</v>
      </c>
      <c r="B559" s="486"/>
      <c r="C559" s="486"/>
      <c r="D559" s="486"/>
      <c r="E559" s="486"/>
      <c r="F559" s="486"/>
      <c r="G559" s="486"/>
      <c r="H559" s="486"/>
      <c r="I559" s="486"/>
    </row>
    <row r="560" spans="1:9" ht="18.75" customHeight="1">
      <c r="A560" s="486" t="s">
        <v>254</v>
      </c>
      <c r="B560" s="486"/>
      <c r="C560" s="486"/>
      <c r="D560" s="486"/>
      <c r="E560" s="486"/>
      <c r="F560" s="486"/>
      <c r="G560" s="486"/>
      <c r="H560" s="486"/>
      <c r="I560" s="486"/>
    </row>
    <row r="561" spans="1:9" ht="18.75" customHeight="1">
      <c r="A561" s="486" t="s">
        <v>255</v>
      </c>
      <c r="B561" s="486"/>
      <c r="C561" s="486"/>
      <c r="D561" s="486"/>
      <c r="E561" s="486"/>
      <c r="F561" s="486"/>
      <c r="G561" s="486"/>
      <c r="H561" s="486"/>
      <c r="I561" s="486"/>
    </row>
    <row r="562" spans="1:9" ht="18.75" customHeight="1">
      <c r="A562" s="486" t="s">
        <v>256</v>
      </c>
      <c r="B562" s="486"/>
      <c r="C562" s="486"/>
      <c r="D562" s="486"/>
      <c r="E562" s="486"/>
      <c r="F562" s="486"/>
      <c r="G562" s="486"/>
      <c r="H562" s="486"/>
      <c r="I562" s="486"/>
    </row>
    <row r="563" spans="1:9" ht="18.75" customHeight="1">
      <c r="A563" s="486" t="s">
        <v>644</v>
      </c>
      <c r="B563" s="486"/>
      <c r="C563" s="486"/>
      <c r="D563" s="486"/>
      <c r="E563" s="486"/>
      <c r="F563" s="486"/>
      <c r="G563" s="486"/>
      <c r="H563" s="486"/>
      <c r="I563" s="486"/>
    </row>
    <row r="564" spans="1:9" ht="18.75" customHeight="1">
      <c r="A564" s="486" t="s">
        <v>647</v>
      </c>
      <c r="B564" s="486"/>
      <c r="C564" s="486"/>
      <c r="D564" s="486"/>
      <c r="E564" s="486"/>
      <c r="F564" s="486"/>
      <c r="G564" s="486"/>
      <c r="H564" s="486"/>
      <c r="I564" s="486"/>
    </row>
    <row r="565" spans="1:9" ht="18.75" customHeight="1">
      <c r="A565" s="39"/>
      <c r="B565" s="39"/>
      <c r="C565" s="39"/>
      <c r="D565" s="39"/>
      <c r="E565" s="39"/>
      <c r="F565" s="39"/>
      <c r="G565" s="39"/>
      <c r="H565" s="39"/>
      <c r="I565" s="209">
        <v>8</v>
      </c>
    </row>
    <row r="566" spans="1:9" ht="30" customHeight="1">
      <c r="A566" s="39"/>
      <c r="B566" s="81" t="s">
        <v>257</v>
      </c>
      <c r="C566" s="81"/>
      <c r="D566" s="39"/>
      <c r="E566" s="39"/>
      <c r="F566" s="39"/>
      <c r="G566" s="39"/>
      <c r="H566" s="40"/>
      <c r="I566" s="135"/>
    </row>
    <row r="567" spans="1:9" ht="18.75" customHeight="1">
      <c r="A567" s="39"/>
      <c r="B567" s="81"/>
      <c r="C567" s="81"/>
      <c r="D567" s="39"/>
      <c r="E567" s="39"/>
      <c r="F567" s="39"/>
      <c r="G567" s="39"/>
      <c r="H567" s="40"/>
      <c r="I567" s="135"/>
    </row>
    <row r="568" spans="1:9" ht="18.75" customHeight="1">
      <c r="A568" s="39"/>
      <c r="B568" s="39"/>
      <c r="C568" s="39"/>
      <c r="D568" s="39"/>
      <c r="E568" s="39"/>
      <c r="F568" s="39"/>
      <c r="G568" s="39"/>
      <c r="H568" s="40"/>
      <c r="I568" s="135"/>
    </row>
    <row r="569" spans="1:9" ht="18.75" customHeight="1">
      <c r="A569" s="486" t="s">
        <v>645</v>
      </c>
      <c r="B569" s="486"/>
      <c r="C569" s="486"/>
      <c r="D569" s="486"/>
      <c r="E569" s="486"/>
      <c r="F569" s="486"/>
      <c r="G569" s="486"/>
      <c r="H569" s="486"/>
      <c r="I569" s="486"/>
    </row>
    <row r="570" spans="1:9" ht="18.75" customHeight="1">
      <c r="A570" s="486" t="s">
        <v>646</v>
      </c>
      <c r="B570" s="486"/>
      <c r="C570" s="486"/>
      <c r="D570" s="486"/>
      <c r="E570" s="486"/>
      <c r="F570" s="486"/>
      <c r="G570" s="486"/>
      <c r="H570" s="486"/>
      <c r="I570" s="486"/>
    </row>
    <row r="571" spans="1:9" ht="18.75" customHeight="1">
      <c r="A571" s="486" t="s">
        <v>648</v>
      </c>
      <c r="B571" s="486"/>
      <c r="C571" s="486"/>
      <c r="D571" s="486"/>
      <c r="E571" s="486"/>
      <c r="F571" s="486"/>
      <c r="G571" s="486"/>
      <c r="H571" s="486"/>
      <c r="I571" s="486"/>
    </row>
    <row r="572" spans="1:9" ht="18.75" customHeight="1">
      <c r="A572" s="486"/>
      <c r="B572" s="486"/>
      <c r="C572" s="486"/>
      <c r="D572" s="486"/>
      <c r="E572" s="486"/>
      <c r="F572" s="486"/>
      <c r="G572" s="486"/>
      <c r="H572" s="486"/>
      <c r="I572" s="486"/>
    </row>
    <row r="573" spans="1:9" ht="18.75" customHeight="1">
      <c r="A573" s="40"/>
      <c r="B573" s="40"/>
      <c r="C573" s="40"/>
      <c r="D573" s="41" t="s">
        <v>682</v>
      </c>
      <c r="E573" s="40"/>
      <c r="F573" s="40"/>
      <c r="G573" s="40"/>
      <c r="H573" s="40"/>
      <c r="I573" s="135"/>
    </row>
    <row r="574" spans="1:9" ht="18.75" customHeight="1">
      <c r="A574" s="40"/>
      <c r="B574" s="40"/>
      <c r="C574" s="40"/>
      <c r="D574" s="40"/>
      <c r="E574" s="40"/>
      <c r="F574" s="40"/>
      <c r="G574" s="40"/>
      <c r="H574" s="2"/>
      <c r="I574" s="135"/>
    </row>
    <row r="575" spans="1:9" ht="18.75" customHeight="1">
      <c r="A575" s="489" t="s">
        <v>710</v>
      </c>
      <c r="B575" s="491" t="s">
        <v>711</v>
      </c>
      <c r="C575" s="492"/>
      <c r="D575" s="5" t="s">
        <v>686</v>
      </c>
      <c r="E575" s="5" t="s">
        <v>712</v>
      </c>
      <c r="F575" s="5" t="s">
        <v>686</v>
      </c>
      <c r="G575" s="192" t="s">
        <v>713</v>
      </c>
      <c r="H575" s="193"/>
      <c r="I575" s="6" t="s">
        <v>714</v>
      </c>
    </row>
    <row r="576" spans="1:9" ht="18.75" customHeight="1">
      <c r="A576" s="490"/>
      <c r="B576" s="493"/>
      <c r="C576" s="494"/>
      <c r="D576" s="7" t="s">
        <v>708</v>
      </c>
      <c r="E576" s="7" t="s">
        <v>715</v>
      </c>
      <c r="F576" s="7" t="s">
        <v>716</v>
      </c>
      <c r="G576" s="8" t="s">
        <v>706</v>
      </c>
      <c r="H576" s="9" t="s">
        <v>707</v>
      </c>
      <c r="I576" s="10" t="s">
        <v>717</v>
      </c>
    </row>
    <row r="577" spans="1:9" ht="18.75" customHeight="1">
      <c r="A577" s="11">
        <v>1</v>
      </c>
      <c r="B577" s="535">
        <v>2</v>
      </c>
      <c r="C577" s="536"/>
      <c r="D577" s="12">
        <v>3</v>
      </c>
      <c r="E577" s="12">
        <v>4</v>
      </c>
      <c r="F577" s="12">
        <v>5</v>
      </c>
      <c r="G577" s="12">
        <v>6</v>
      </c>
      <c r="H577" s="12">
        <v>7</v>
      </c>
      <c r="I577" s="13">
        <v>8</v>
      </c>
    </row>
    <row r="578" spans="1:9" ht="18.75" customHeight="1">
      <c r="A578" s="4">
        <v>10</v>
      </c>
      <c r="B578" s="504" t="s">
        <v>258</v>
      </c>
      <c r="C578" s="505"/>
      <c r="D578" s="25">
        <v>109448.46</v>
      </c>
      <c r="E578" s="25">
        <v>532800</v>
      </c>
      <c r="F578" s="25">
        <v>152556.7</v>
      </c>
      <c r="G578" s="26">
        <f>F578/D578</f>
        <v>1.393867944784239</v>
      </c>
      <c r="H578" s="27">
        <f>F578/E578</f>
        <v>0.28633014264264267</v>
      </c>
      <c r="I578" s="27">
        <f>F578/F580</f>
        <v>0.9493200478752406</v>
      </c>
    </row>
    <row r="579" spans="1:9" ht="18.75" customHeight="1">
      <c r="A579" s="4">
        <v>22</v>
      </c>
      <c r="B579" s="504" t="s">
        <v>259</v>
      </c>
      <c r="C579" s="505"/>
      <c r="D579" s="25">
        <v>0</v>
      </c>
      <c r="E579" s="25">
        <v>0</v>
      </c>
      <c r="F579" s="25">
        <v>8144.32</v>
      </c>
      <c r="G579" s="15" t="e">
        <f>F579/D579</f>
        <v>#DIV/0!</v>
      </c>
      <c r="H579" s="16" t="e">
        <f>F579/E579</f>
        <v>#DIV/0!</v>
      </c>
      <c r="I579" s="27">
        <f>F579/F580</f>
        <v>0.05067995212475938</v>
      </c>
    </row>
    <row r="580" spans="1:9" ht="24" customHeight="1">
      <c r="A580" s="210"/>
      <c r="B580" s="548" t="s">
        <v>95</v>
      </c>
      <c r="C580" s="549"/>
      <c r="D580" s="211">
        <f>D578+D579</f>
        <v>109448.46</v>
      </c>
      <c r="E580" s="211">
        <f>E578+E579</f>
        <v>532800</v>
      </c>
      <c r="F580" s="214">
        <f>F578+F579</f>
        <v>160701.02000000002</v>
      </c>
      <c r="G580" s="212">
        <f>F580/D580</f>
        <v>1.4682803211666935</v>
      </c>
      <c r="H580" s="213">
        <f>F580/E580</f>
        <v>0.3016160285285286</v>
      </c>
      <c r="I580" s="213">
        <f>I578+I579</f>
        <v>1</v>
      </c>
    </row>
    <row r="581" spans="1:9" ht="18.75" customHeight="1">
      <c r="A581" s="39"/>
      <c r="B581" s="39"/>
      <c r="C581" s="39"/>
      <c r="D581" s="39"/>
      <c r="E581" s="39"/>
      <c r="F581" s="39"/>
      <c r="G581" s="39"/>
      <c r="H581" s="39"/>
      <c r="I581" s="138"/>
    </row>
    <row r="582" spans="1:9" ht="18.75" customHeight="1">
      <c r="A582" s="486" t="s">
        <v>1079</v>
      </c>
      <c r="B582" s="486"/>
      <c r="C582" s="486"/>
      <c r="D582" s="486"/>
      <c r="E582" s="486"/>
      <c r="F582" s="486"/>
      <c r="G582" s="486"/>
      <c r="H582" s="486"/>
      <c r="I582" s="486"/>
    </row>
    <row r="583" spans="1:9" ht="18.75" customHeight="1">
      <c r="A583" s="486" t="s">
        <v>1080</v>
      </c>
      <c r="B583" s="486"/>
      <c r="C583" s="486"/>
      <c r="D583" s="486"/>
      <c r="E583" s="486"/>
      <c r="F583" s="486"/>
      <c r="G583" s="486"/>
      <c r="H583" s="486"/>
      <c r="I583" s="486"/>
    </row>
    <row r="584" spans="1:9" ht="18.75" customHeight="1">
      <c r="A584" s="486" t="s">
        <v>649</v>
      </c>
      <c r="B584" s="486"/>
      <c r="C584" s="486"/>
      <c r="D584" s="486"/>
      <c r="E584" s="486"/>
      <c r="F584" s="486"/>
      <c r="G584" s="486"/>
      <c r="H584" s="486"/>
      <c r="I584" s="486"/>
    </row>
    <row r="585" spans="1:9" ht="18.75" customHeight="1">
      <c r="A585" s="486" t="s">
        <v>650</v>
      </c>
      <c r="B585" s="486"/>
      <c r="C585" s="486"/>
      <c r="D585" s="486"/>
      <c r="E585" s="486"/>
      <c r="F585" s="486"/>
      <c r="G585" s="486"/>
      <c r="H585" s="486"/>
      <c r="I585" s="486"/>
    </row>
    <row r="586" spans="1:9" ht="18.75" customHeight="1">
      <c r="A586" s="486" t="s">
        <v>1081</v>
      </c>
      <c r="B586" s="486"/>
      <c r="C586" s="486"/>
      <c r="D586" s="486"/>
      <c r="E586" s="486"/>
      <c r="F586" s="486"/>
      <c r="G586" s="486"/>
      <c r="H586" s="486"/>
      <c r="I586" s="486"/>
    </row>
    <row r="587" spans="1:9" ht="18.75" customHeight="1">
      <c r="A587" s="40"/>
      <c r="B587" s="40"/>
      <c r="C587" s="40"/>
      <c r="D587" s="41" t="s">
        <v>682</v>
      </c>
      <c r="E587" s="40"/>
      <c r="F587" s="40"/>
      <c r="G587" s="40"/>
      <c r="H587" s="40"/>
      <c r="I587" s="135"/>
    </row>
    <row r="588" spans="1:9" ht="18.75" customHeight="1">
      <c r="A588" s="40"/>
      <c r="B588" s="40"/>
      <c r="C588" s="40"/>
      <c r="D588" s="40"/>
      <c r="E588" s="40"/>
      <c r="F588" s="40"/>
      <c r="G588" s="40"/>
      <c r="H588" s="40"/>
      <c r="I588" s="135"/>
    </row>
    <row r="589" spans="1:9" ht="18.75" customHeight="1">
      <c r="A589" s="22" t="s">
        <v>683</v>
      </c>
      <c r="B589" s="491" t="s">
        <v>688</v>
      </c>
      <c r="C589" s="492"/>
      <c r="D589" s="5" t="s">
        <v>686</v>
      </c>
      <c r="E589" s="5" t="s">
        <v>712</v>
      </c>
      <c r="F589" s="5" t="s">
        <v>686</v>
      </c>
      <c r="G589" s="192" t="s">
        <v>713</v>
      </c>
      <c r="H589" s="193"/>
      <c r="I589" s="6" t="s">
        <v>714</v>
      </c>
    </row>
    <row r="590" spans="1:9" ht="18.75" customHeight="1">
      <c r="A590" s="23" t="s">
        <v>97</v>
      </c>
      <c r="B590" s="493"/>
      <c r="C590" s="494"/>
      <c r="D590" s="7" t="s">
        <v>708</v>
      </c>
      <c r="E590" s="7" t="s">
        <v>715</v>
      </c>
      <c r="F590" s="7" t="s">
        <v>716</v>
      </c>
      <c r="G590" s="8" t="s">
        <v>706</v>
      </c>
      <c r="H590" s="9" t="s">
        <v>707</v>
      </c>
      <c r="I590" s="10" t="s">
        <v>717</v>
      </c>
    </row>
    <row r="591" spans="1:9" ht="18.75" customHeight="1">
      <c r="A591" s="13">
        <v>1</v>
      </c>
      <c r="B591" s="535">
        <v>2</v>
      </c>
      <c r="C591" s="536"/>
      <c r="D591" s="12">
        <v>3</v>
      </c>
      <c r="E591" s="12">
        <v>4</v>
      </c>
      <c r="F591" s="12">
        <v>5</v>
      </c>
      <c r="G591" s="12">
        <v>6</v>
      </c>
      <c r="H591" s="12">
        <v>7</v>
      </c>
      <c r="I591" s="13">
        <v>8</v>
      </c>
    </row>
    <row r="592" spans="1:9" ht="18.75" customHeight="1">
      <c r="A592" s="4">
        <v>13210</v>
      </c>
      <c r="B592" s="580" t="s">
        <v>260</v>
      </c>
      <c r="C592" s="581"/>
      <c r="D592" s="25">
        <v>84129.41</v>
      </c>
      <c r="E592" s="25">
        <v>374650</v>
      </c>
      <c r="F592" s="25">
        <v>138198.19</v>
      </c>
      <c r="G592" s="26">
        <f>F592/D592</f>
        <v>1.642685833646046</v>
      </c>
      <c r="H592" s="27">
        <f>F592/E592</f>
        <v>0.3688727879354064</v>
      </c>
      <c r="I592" s="27">
        <f>F592/F596</f>
        <v>0.8599708327924738</v>
      </c>
    </row>
    <row r="593" spans="1:9" ht="18.75" customHeight="1">
      <c r="A593" s="45">
        <v>13220</v>
      </c>
      <c r="B593" s="504" t="s">
        <v>261</v>
      </c>
      <c r="C593" s="505"/>
      <c r="D593" s="25">
        <v>8962.59</v>
      </c>
      <c r="E593" s="25">
        <v>74990</v>
      </c>
      <c r="F593" s="25">
        <v>11913.7</v>
      </c>
      <c r="G593" s="26">
        <f>F593/D593</f>
        <v>1.329269775812572</v>
      </c>
      <c r="H593" s="27">
        <f>F593/E593</f>
        <v>0.1588705160688092</v>
      </c>
      <c r="I593" s="27">
        <f>F593/F596</f>
        <v>0.07413580822324588</v>
      </c>
    </row>
    <row r="594" spans="1:9" ht="18.75" customHeight="1">
      <c r="A594" s="45">
        <v>13230</v>
      </c>
      <c r="B594" s="504" t="s">
        <v>262</v>
      </c>
      <c r="C594" s="505"/>
      <c r="D594" s="25">
        <v>6351.63</v>
      </c>
      <c r="E594" s="25">
        <v>46208</v>
      </c>
      <c r="F594" s="25">
        <v>4271</v>
      </c>
      <c r="G594" s="26">
        <f>F594/D594</f>
        <v>0.6724258182545267</v>
      </c>
      <c r="H594" s="27">
        <f>F594/E594</f>
        <v>0.09242988227146814</v>
      </c>
      <c r="I594" s="27">
        <f>F594/F596</f>
        <v>0.026577304860915005</v>
      </c>
    </row>
    <row r="595" spans="1:9" ht="18.75" customHeight="1">
      <c r="A595" s="45">
        <v>13250</v>
      </c>
      <c r="B595" s="504" t="s">
        <v>263</v>
      </c>
      <c r="C595" s="505"/>
      <c r="D595" s="25">
        <v>10004.83</v>
      </c>
      <c r="E595" s="25">
        <v>36952</v>
      </c>
      <c r="F595" s="25">
        <v>6318.13</v>
      </c>
      <c r="G595" s="26">
        <f>F595/D595</f>
        <v>0.6315079816448655</v>
      </c>
      <c r="H595" s="27">
        <f>F595/E595</f>
        <v>0.1709820848668543</v>
      </c>
      <c r="I595" s="27">
        <f>F595/F596</f>
        <v>0.03931605412336524</v>
      </c>
    </row>
    <row r="596" spans="1:9" ht="24" customHeight="1">
      <c r="A596" s="17"/>
      <c r="B596" s="548" t="s">
        <v>95</v>
      </c>
      <c r="C596" s="549"/>
      <c r="D596" s="211">
        <f>SUM(D592:D595)</f>
        <v>109448.46</v>
      </c>
      <c r="E596" s="211">
        <f>SUM(E592:E595)</f>
        <v>532800</v>
      </c>
      <c r="F596" s="211">
        <f>SUM(F592:F595)</f>
        <v>160701.02000000002</v>
      </c>
      <c r="G596" s="212">
        <f>F596/D596</f>
        <v>1.4682803211666935</v>
      </c>
      <c r="H596" s="213">
        <f>F596/E596</f>
        <v>0.3016160285285286</v>
      </c>
      <c r="I596" s="213">
        <f>I592+I593+I594+I595</f>
        <v>0.9999999999999999</v>
      </c>
    </row>
    <row r="597" spans="1:9" ht="18.75" customHeight="1">
      <c r="A597" s="40"/>
      <c r="B597" s="40"/>
      <c r="C597" s="40"/>
      <c r="D597" s="40"/>
      <c r="E597" s="40"/>
      <c r="F597" s="40"/>
      <c r="G597" s="40"/>
      <c r="H597" s="40"/>
      <c r="I597" s="135"/>
    </row>
    <row r="598" spans="1:9" ht="18.75" customHeight="1">
      <c r="A598" s="486" t="s">
        <v>1082</v>
      </c>
      <c r="B598" s="486"/>
      <c r="C598" s="486"/>
      <c r="D598" s="486"/>
      <c r="E598" s="486"/>
      <c r="F598" s="486"/>
      <c r="G598" s="486"/>
      <c r="H598" s="486"/>
      <c r="I598" s="486"/>
    </row>
    <row r="599" spans="1:9" ht="18.75" customHeight="1">
      <c r="A599" s="40"/>
      <c r="B599" s="40"/>
      <c r="C599" s="40"/>
      <c r="D599" s="40"/>
      <c r="E599" s="40"/>
      <c r="F599" s="40"/>
      <c r="G599" s="40"/>
      <c r="H599" s="40"/>
      <c r="I599" s="135"/>
    </row>
    <row r="600" spans="1:9" ht="18.75" customHeight="1">
      <c r="A600" s="40"/>
      <c r="B600" s="40"/>
      <c r="C600" s="40"/>
      <c r="D600" s="41" t="s">
        <v>682</v>
      </c>
      <c r="E600" s="40"/>
      <c r="F600" s="40"/>
      <c r="G600" s="40"/>
      <c r="H600" s="40"/>
      <c r="I600" s="135"/>
    </row>
    <row r="601" spans="1:9" ht="18.75" customHeight="1">
      <c r="A601" s="40"/>
      <c r="B601" s="40"/>
      <c r="C601" s="40"/>
      <c r="D601" s="40"/>
      <c r="E601" s="40"/>
      <c r="F601" s="40"/>
      <c r="G601" s="40"/>
      <c r="H601" s="40"/>
      <c r="I601" s="135"/>
    </row>
    <row r="602" spans="1:9" ht="18.75" customHeight="1">
      <c r="A602" s="22" t="s">
        <v>683</v>
      </c>
      <c r="B602" s="491" t="s">
        <v>688</v>
      </c>
      <c r="C602" s="492"/>
      <c r="D602" s="5" t="s">
        <v>686</v>
      </c>
      <c r="E602" s="5" t="s">
        <v>712</v>
      </c>
      <c r="F602" s="5" t="s">
        <v>686</v>
      </c>
      <c r="G602" s="192" t="s">
        <v>713</v>
      </c>
      <c r="H602" s="193"/>
      <c r="I602" s="6" t="s">
        <v>714</v>
      </c>
    </row>
    <row r="603" spans="1:9" ht="18.75" customHeight="1">
      <c r="A603" s="23" t="s">
        <v>684</v>
      </c>
      <c r="B603" s="493"/>
      <c r="C603" s="494"/>
      <c r="D603" s="7" t="s">
        <v>708</v>
      </c>
      <c r="E603" s="7" t="s">
        <v>715</v>
      </c>
      <c r="F603" s="7" t="s">
        <v>716</v>
      </c>
      <c r="G603" s="8" t="s">
        <v>706</v>
      </c>
      <c r="H603" s="9" t="s">
        <v>707</v>
      </c>
      <c r="I603" s="10" t="s">
        <v>717</v>
      </c>
    </row>
    <row r="604" spans="1:9" ht="18.75" customHeight="1">
      <c r="A604" s="63">
        <v>1</v>
      </c>
      <c r="B604" s="546">
        <v>2</v>
      </c>
      <c r="C604" s="547"/>
      <c r="D604" s="237">
        <v>3</v>
      </c>
      <c r="E604" s="215">
        <v>4</v>
      </c>
      <c r="F604" s="215">
        <v>5</v>
      </c>
      <c r="G604" s="215">
        <v>6</v>
      </c>
      <c r="H604" s="215">
        <v>7</v>
      </c>
      <c r="I604" s="63">
        <v>8</v>
      </c>
    </row>
    <row r="605" spans="1:9" ht="18.75" customHeight="1">
      <c r="A605" s="24">
        <v>16019</v>
      </c>
      <c r="B605" s="483" t="s">
        <v>71</v>
      </c>
      <c r="C605" s="484"/>
      <c r="D605" s="238">
        <v>0</v>
      </c>
      <c r="E605" s="25">
        <v>0</v>
      </c>
      <c r="F605" s="25">
        <v>0</v>
      </c>
      <c r="G605" s="15" t="e">
        <f aca="true" t="shared" si="28" ref="G605:G630">F605/D605</f>
        <v>#DIV/0!</v>
      </c>
      <c r="H605" s="16" t="e">
        <f aca="true" t="shared" si="29" ref="H605:H630">F605/E605</f>
        <v>#DIV/0!</v>
      </c>
      <c r="I605" s="16">
        <f>F605/F630</f>
        <v>0</v>
      </c>
    </row>
    <row r="606" spans="1:9" ht="18.75" customHeight="1">
      <c r="A606" s="24">
        <v>16319</v>
      </c>
      <c r="B606" s="483" t="s">
        <v>72</v>
      </c>
      <c r="C606" s="484"/>
      <c r="D606" s="238">
        <v>29570.76</v>
      </c>
      <c r="E606" s="25">
        <v>130000</v>
      </c>
      <c r="F606" s="25">
        <v>24306.19</v>
      </c>
      <c r="G606" s="15">
        <f t="shared" si="28"/>
        <v>0.8219670377088719</v>
      </c>
      <c r="H606" s="16">
        <f t="shared" si="29"/>
        <v>0.1869706923076923</v>
      </c>
      <c r="I606" s="16">
        <f>F606/F630</f>
        <v>0.1512510001492212</v>
      </c>
    </row>
    <row r="607" spans="1:9" ht="18.75" customHeight="1">
      <c r="A607" s="24">
        <v>16637</v>
      </c>
      <c r="B607" s="483" t="s">
        <v>73</v>
      </c>
      <c r="C607" s="484"/>
      <c r="D607" s="238">
        <v>0</v>
      </c>
      <c r="E607" s="25">
        <v>0</v>
      </c>
      <c r="F607" s="25">
        <v>0</v>
      </c>
      <c r="G607" s="15" t="e">
        <f t="shared" si="28"/>
        <v>#DIV/0!</v>
      </c>
      <c r="H607" s="16" t="e">
        <f t="shared" si="29"/>
        <v>#DIV/0!</v>
      </c>
      <c r="I607" s="16">
        <f>F607/F630</f>
        <v>0</v>
      </c>
    </row>
    <row r="608" spans="1:9" ht="18.75" customHeight="1">
      <c r="A608" s="24">
        <v>16795</v>
      </c>
      <c r="B608" s="483" t="s">
        <v>74</v>
      </c>
      <c r="C608" s="484"/>
      <c r="D608" s="238">
        <v>0</v>
      </c>
      <c r="E608" s="25">
        <v>0</v>
      </c>
      <c r="F608" s="25">
        <v>0</v>
      </c>
      <c r="G608" s="15" t="e">
        <f t="shared" si="28"/>
        <v>#DIV/0!</v>
      </c>
      <c r="H608" s="16" t="e">
        <f t="shared" si="29"/>
        <v>#DIV/0!</v>
      </c>
      <c r="I608" s="16">
        <f>F608/F630</f>
        <v>0</v>
      </c>
    </row>
    <row r="609" spans="1:9" ht="18.75" customHeight="1">
      <c r="A609" s="24">
        <v>16919</v>
      </c>
      <c r="B609" s="483" t="s">
        <v>75</v>
      </c>
      <c r="C609" s="484"/>
      <c r="D609" s="238">
        <v>0</v>
      </c>
      <c r="E609" s="25">
        <v>0</v>
      </c>
      <c r="F609" s="25">
        <v>0</v>
      </c>
      <c r="G609" s="15" t="e">
        <f t="shared" si="28"/>
        <v>#DIV/0!</v>
      </c>
      <c r="H609" s="16" t="e">
        <f t="shared" si="29"/>
        <v>#DIV/0!</v>
      </c>
      <c r="I609" s="16">
        <f>F609/F630</f>
        <v>0</v>
      </c>
    </row>
    <row r="610" spans="1:9" ht="18.75" customHeight="1">
      <c r="A610" s="24">
        <v>17519</v>
      </c>
      <c r="B610" s="483" t="s">
        <v>76</v>
      </c>
      <c r="C610" s="484"/>
      <c r="D610" s="238">
        <v>0</v>
      </c>
      <c r="E610" s="25">
        <v>0</v>
      </c>
      <c r="F610" s="25">
        <v>0</v>
      </c>
      <c r="G610" s="15" t="e">
        <f t="shared" si="28"/>
        <v>#DIV/0!</v>
      </c>
      <c r="H610" s="16" t="e">
        <f t="shared" si="29"/>
        <v>#DIV/0!</v>
      </c>
      <c r="I610" s="16">
        <f>F610/F630</f>
        <v>0</v>
      </c>
    </row>
    <row r="611" spans="1:9" ht="18.75" customHeight="1">
      <c r="A611" s="24">
        <v>18019</v>
      </c>
      <c r="B611" s="483" t="s">
        <v>77</v>
      </c>
      <c r="C611" s="484"/>
      <c r="D611" s="238">
        <v>23220.72</v>
      </c>
      <c r="E611" s="25">
        <v>100000</v>
      </c>
      <c r="F611" s="25">
        <v>33297.92</v>
      </c>
      <c r="G611" s="15">
        <f t="shared" si="28"/>
        <v>1.4339744848566278</v>
      </c>
      <c r="H611" s="16">
        <f t="shared" si="29"/>
        <v>0.3329792</v>
      </c>
      <c r="I611" s="16">
        <f>F611/F630</f>
        <v>0.2072041608696696</v>
      </c>
    </row>
    <row r="612" spans="1:9" ht="18.75" customHeight="1">
      <c r="A612" s="24">
        <v>18423</v>
      </c>
      <c r="B612" s="483" t="s">
        <v>78</v>
      </c>
      <c r="C612" s="484"/>
      <c r="D612" s="238">
        <v>2940.04</v>
      </c>
      <c r="E612" s="25">
        <v>11000</v>
      </c>
      <c r="F612" s="25">
        <f>5499.34+19.46</f>
        <v>5518.8</v>
      </c>
      <c r="G612" s="15">
        <f t="shared" si="28"/>
        <v>1.8771173181317262</v>
      </c>
      <c r="H612" s="16">
        <f t="shared" si="29"/>
        <v>0.5017090909090909</v>
      </c>
      <c r="I612" s="16">
        <f>F612/F630</f>
        <v>0.03434203466785712</v>
      </c>
    </row>
    <row r="613" spans="1:9" ht="18.75" customHeight="1">
      <c r="A613" s="24">
        <v>19595</v>
      </c>
      <c r="B613" s="483" t="s">
        <v>79</v>
      </c>
      <c r="C613" s="484"/>
      <c r="D613" s="238">
        <v>0</v>
      </c>
      <c r="E613" s="25">
        <v>2000</v>
      </c>
      <c r="F613" s="25">
        <v>0</v>
      </c>
      <c r="G613" s="15" t="e">
        <f t="shared" si="28"/>
        <v>#DIV/0!</v>
      </c>
      <c r="H613" s="16">
        <f t="shared" si="29"/>
        <v>0</v>
      </c>
      <c r="I613" s="16">
        <f>F613/F630</f>
        <v>0</v>
      </c>
    </row>
    <row r="614" spans="1:9" ht="18.75" customHeight="1">
      <c r="A614" s="24">
        <v>47019</v>
      </c>
      <c r="B614" s="483" t="s">
        <v>80</v>
      </c>
      <c r="C614" s="484"/>
      <c r="D614" s="238">
        <v>0</v>
      </c>
      <c r="E614" s="25">
        <v>2000</v>
      </c>
      <c r="F614" s="25">
        <v>0</v>
      </c>
      <c r="G614" s="15" t="e">
        <f t="shared" si="28"/>
        <v>#DIV/0!</v>
      </c>
      <c r="H614" s="16">
        <f t="shared" si="29"/>
        <v>0</v>
      </c>
      <c r="I614" s="16">
        <f>F614/F630</f>
        <v>0</v>
      </c>
    </row>
    <row r="615" spans="1:9" ht="18.75" customHeight="1">
      <c r="A615" s="24">
        <v>48019</v>
      </c>
      <c r="B615" s="483" t="s">
        <v>81</v>
      </c>
      <c r="C615" s="484"/>
      <c r="D615" s="238">
        <v>0</v>
      </c>
      <c r="E615" s="25">
        <v>0</v>
      </c>
      <c r="F615" s="25">
        <v>0</v>
      </c>
      <c r="G615" s="15" t="e">
        <f t="shared" si="28"/>
        <v>#DIV/0!</v>
      </c>
      <c r="H615" s="16" t="e">
        <f t="shared" si="29"/>
        <v>#DIV/0!</v>
      </c>
      <c r="I615" s="16">
        <f>F615/F630</f>
        <v>0</v>
      </c>
    </row>
    <row r="616" spans="1:9" ht="18.75" customHeight="1">
      <c r="A616" s="24">
        <v>65095</v>
      </c>
      <c r="B616" s="483" t="s">
        <v>82</v>
      </c>
      <c r="C616" s="484"/>
      <c r="D616" s="238">
        <v>0</v>
      </c>
      <c r="E616" s="25">
        <v>0</v>
      </c>
      <c r="F616" s="25">
        <v>0</v>
      </c>
      <c r="G616" s="15" t="e">
        <f t="shared" si="28"/>
        <v>#DIV/0!</v>
      </c>
      <c r="H616" s="16" t="e">
        <f t="shared" si="29"/>
        <v>#DIV/0!</v>
      </c>
      <c r="I616" s="16">
        <f>F616/F630</f>
        <v>0</v>
      </c>
    </row>
    <row r="617" spans="1:9" ht="18.75" customHeight="1">
      <c r="A617" s="24">
        <v>65495</v>
      </c>
      <c r="B617" s="483" t="s">
        <v>83</v>
      </c>
      <c r="C617" s="484"/>
      <c r="D617" s="238">
        <v>0</v>
      </c>
      <c r="E617" s="25">
        <v>0</v>
      </c>
      <c r="F617" s="25">
        <v>0</v>
      </c>
      <c r="G617" s="15" t="e">
        <f t="shared" si="28"/>
        <v>#DIV/0!</v>
      </c>
      <c r="H617" s="16" t="e">
        <f t="shared" si="29"/>
        <v>#DIV/0!</v>
      </c>
      <c r="I617" s="16">
        <f>F617/F630</f>
        <v>0</v>
      </c>
    </row>
    <row r="618" spans="1:9" ht="18.75" customHeight="1">
      <c r="A618" s="24">
        <v>66400</v>
      </c>
      <c r="B618" s="483" t="s">
        <v>84</v>
      </c>
      <c r="C618" s="484"/>
      <c r="D618" s="83">
        <v>0</v>
      </c>
      <c r="E618" s="83">
        <v>0</v>
      </c>
      <c r="F618" s="25">
        <v>0</v>
      </c>
      <c r="G618" s="15" t="e">
        <f t="shared" si="28"/>
        <v>#DIV/0!</v>
      </c>
      <c r="H618" s="16" t="e">
        <f t="shared" si="29"/>
        <v>#DIV/0!</v>
      </c>
      <c r="I618" s="16">
        <f>F618/F630</f>
        <v>0</v>
      </c>
    </row>
    <row r="619" spans="1:9" ht="18.75" customHeight="1">
      <c r="A619" s="35"/>
      <c r="B619" s="530" t="s">
        <v>85</v>
      </c>
      <c r="C619" s="531"/>
      <c r="D619" s="84">
        <f>D620+D621+D622</f>
        <v>25144.23</v>
      </c>
      <c r="E619" s="84">
        <f>E620+E621+E622</f>
        <v>109500</v>
      </c>
      <c r="F619" s="85">
        <f>F620+F621+F622</f>
        <v>30683.190000000002</v>
      </c>
      <c r="G619" s="20">
        <f t="shared" si="28"/>
        <v>1.22028751725545</v>
      </c>
      <c r="H619" s="21">
        <f t="shared" si="29"/>
        <v>0.28021178082191783</v>
      </c>
      <c r="I619" s="21">
        <f>F619/F630</f>
        <v>0.190933386732704</v>
      </c>
    </row>
    <row r="620" spans="1:9" ht="18.75" customHeight="1">
      <c r="A620" s="24">
        <v>73028</v>
      </c>
      <c r="B620" s="483" t="s">
        <v>86</v>
      </c>
      <c r="C620" s="484"/>
      <c r="D620" s="239">
        <v>0</v>
      </c>
      <c r="E620" s="25">
        <v>840</v>
      </c>
      <c r="F620" s="25">
        <v>0</v>
      </c>
      <c r="G620" s="15" t="e">
        <f t="shared" si="28"/>
        <v>#DIV/0!</v>
      </c>
      <c r="H620" s="16">
        <f t="shared" si="29"/>
        <v>0</v>
      </c>
      <c r="I620" s="16">
        <f>F620/F619</f>
        <v>0</v>
      </c>
    </row>
    <row r="621" spans="1:9" ht="18.75" customHeight="1">
      <c r="A621" s="24">
        <v>74100</v>
      </c>
      <c r="B621" s="483" t="s">
        <v>87</v>
      </c>
      <c r="C621" s="484"/>
      <c r="D621" s="239">
        <v>23533.03</v>
      </c>
      <c r="E621" s="25">
        <v>99660</v>
      </c>
      <c r="F621" s="25">
        <v>29383.08</v>
      </c>
      <c r="G621" s="15">
        <f t="shared" si="28"/>
        <v>1.248588898242173</v>
      </c>
      <c r="H621" s="16">
        <f t="shared" si="29"/>
        <v>0.2948332329921734</v>
      </c>
      <c r="I621" s="16">
        <f>F621/F619</f>
        <v>0.9576279389463742</v>
      </c>
    </row>
    <row r="622" spans="1:9" ht="18.75" customHeight="1">
      <c r="A622" s="24">
        <v>75590</v>
      </c>
      <c r="B622" s="483" t="s">
        <v>88</v>
      </c>
      <c r="C622" s="484"/>
      <c r="D622" s="239">
        <v>1611.2</v>
      </c>
      <c r="E622" s="25">
        <v>9000</v>
      </c>
      <c r="F622" s="25">
        <v>1300.11</v>
      </c>
      <c r="G622" s="15">
        <f t="shared" si="28"/>
        <v>0.8069203078450843</v>
      </c>
      <c r="H622" s="16">
        <f t="shared" si="29"/>
        <v>0.14445666666666665</v>
      </c>
      <c r="I622" s="16">
        <f>F622/F619</f>
        <v>0.04237206105362577</v>
      </c>
    </row>
    <row r="623" spans="1:9" ht="18.75" customHeight="1">
      <c r="A623" s="24">
        <v>76095</v>
      </c>
      <c r="B623" s="483" t="s">
        <v>89</v>
      </c>
      <c r="C623" s="484"/>
      <c r="D623" s="239">
        <v>0</v>
      </c>
      <c r="E623" s="25">
        <v>0</v>
      </c>
      <c r="F623" s="25">
        <v>0</v>
      </c>
      <c r="G623" s="15" t="e">
        <f t="shared" si="28"/>
        <v>#DIV/0!</v>
      </c>
      <c r="H623" s="16" t="e">
        <f t="shared" si="29"/>
        <v>#DIV/0!</v>
      </c>
      <c r="I623" s="16">
        <f>E623/E619</f>
        <v>0</v>
      </c>
    </row>
    <row r="624" spans="1:9" ht="18.75" customHeight="1">
      <c r="A624" s="24">
        <v>85019</v>
      </c>
      <c r="B624" s="483" t="s">
        <v>90</v>
      </c>
      <c r="C624" s="484"/>
      <c r="D624" s="239">
        <v>8421.07</v>
      </c>
      <c r="E624" s="25">
        <v>48300</v>
      </c>
      <c r="F624" s="25">
        <f>22984.57+8144.32</f>
        <v>31128.89</v>
      </c>
      <c r="G624" s="15">
        <f t="shared" si="28"/>
        <v>3.6965480633696193</v>
      </c>
      <c r="H624" s="16">
        <f t="shared" si="29"/>
        <v>0.6444904761904762</v>
      </c>
      <c r="I624" s="16">
        <f>F624/F630</f>
        <v>0.1937068601058039</v>
      </c>
    </row>
    <row r="625" spans="1:9" ht="18.75" customHeight="1">
      <c r="A625" s="35"/>
      <c r="B625" s="530" t="s">
        <v>91</v>
      </c>
      <c r="C625" s="531"/>
      <c r="D625" s="240">
        <f>D626+D627+D628+D629</f>
        <v>20151.64</v>
      </c>
      <c r="E625" s="36">
        <f>E626+E627+E628+E629</f>
        <v>130000</v>
      </c>
      <c r="F625" s="36">
        <f>F626+F627+F628+F629</f>
        <v>35766.03</v>
      </c>
      <c r="G625" s="20">
        <f t="shared" si="28"/>
        <v>1.7748446280302745</v>
      </c>
      <c r="H625" s="21">
        <f t="shared" si="29"/>
        <v>0.2751233076923077</v>
      </c>
      <c r="I625" s="21">
        <f>F625/F630</f>
        <v>0.22256255747474407</v>
      </c>
    </row>
    <row r="626" spans="1:9" ht="18.75" customHeight="1">
      <c r="A626" s="24">
        <v>92095</v>
      </c>
      <c r="B626" s="483" t="s">
        <v>86</v>
      </c>
      <c r="C626" s="484"/>
      <c r="D626" s="239">
        <v>0</v>
      </c>
      <c r="E626" s="86">
        <v>6000</v>
      </c>
      <c r="F626" s="25">
        <v>1431.51</v>
      </c>
      <c r="G626" s="15" t="e">
        <f t="shared" si="28"/>
        <v>#DIV/0!</v>
      </c>
      <c r="H626" s="16">
        <f t="shared" si="29"/>
        <v>0.238585</v>
      </c>
      <c r="I626" s="16">
        <f>F626/F625</f>
        <v>0.0400242912059292</v>
      </c>
    </row>
    <row r="627" spans="1:9" ht="18.75" customHeight="1">
      <c r="A627" s="24">
        <v>92570</v>
      </c>
      <c r="B627" s="483" t="s">
        <v>92</v>
      </c>
      <c r="C627" s="484"/>
      <c r="D627" s="239">
        <v>4071.82</v>
      </c>
      <c r="E627" s="86">
        <v>11000</v>
      </c>
      <c r="F627" s="25">
        <v>3638.91</v>
      </c>
      <c r="G627" s="15">
        <f t="shared" si="28"/>
        <v>0.8936814495729182</v>
      </c>
      <c r="H627" s="16">
        <f t="shared" si="29"/>
        <v>0.33081</v>
      </c>
      <c r="I627" s="16">
        <f>F627/F625</f>
        <v>0.10174207201637979</v>
      </c>
    </row>
    <row r="628" spans="1:9" ht="18.75" customHeight="1">
      <c r="A628" s="24">
        <v>93540</v>
      </c>
      <c r="B628" s="483" t="s">
        <v>93</v>
      </c>
      <c r="C628" s="484"/>
      <c r="D628" s="239">
        <v>11268.24</v>
      </c>
      <c r="E628" s="86">
        <v>76298</v>
      </c>
      <c r="F628" s="25">
        <f>2617.96+259.48+505.11+1034.94+222.55+124.75+995.34+251.25+1583.69+1968.15+498.04+229.45+643.31+1315.36+397.61+227.72+279.84+534.63+579.17+803.33+495.14+3971.5+359.87+352.58+594.77+595.64</f>
        <v>21441.18</v>
      </c>
      <c r="G628" s="15">
        <f t="shared" si="28"/>
        <v>1.9027975974952611</v>
      </c>
      <c r="H628" s="16">
        <f t="shared" si="29"/>
        <v>0.2810188995779706</v>
      </c>
      <c r="I628" s="16">
        <f>F628/F625</f>
        <v>0.5994844829017926</v>
      </c>
    </row>
    <row r="629" spans="1:9" ht="18.75" customHeight="1">
      <c r="A629" s="24">
        <v>94740</v>
      </c>
      <c r="B629" s="483" t="s">
        <v>554</v>
      </c>
      <c r="C629" s="484"/>
      <c r="D629" s="239">
        <v>4811.58</v>
      </c>
      <c r="E629" s="86">
        <v>36702</v>
      </c>
      <c r="F629" s="25">
        <f>2694.97+738.79+1328.72+1904.27+1905.92+681.76</f>
        <v>9254.43</v>
      </c>
      <c r="G629" s="15">
        <f t="shared" si="28"/>
        <v>1.923366129213273</v>
      </c>
      <c r="H629" s="16">
        <f t="shared" si="29"/>
        <v>0.25215056400196173</v>
      </c>
      <c r="I629" s="16">
        <f>F629/F625</f>
        <v>0.2587491538758985</v>
      </c>
    </row>
    <row r="630" spans="1:9" ht="20.25" customHeight="1">
      <c r="A630" s="182"/>
      <c r="B630" s="495" t="s">
        <v>95</v>
      </c>
      <c r="C630" s="496"/>
      <c r="D630" s="270">
        <f>D606+D607+D608+D609+D610+D611+D612+D613+D614+D615+D616+D617+D618+D619+D624++D625</f>
        <v>109448.46</v>
      </c>
      <c r="E630" s="211">
        <f>E606+E607+E608+E609+E610+E611+E612+E613+E614+E615+E616+E617+E618+E619+E624++E625</f>
        <v>532800</v>
      </c>
      <c r="F630" s="211">
        <f>F605+F606+F607+F608+F609+F610+F611+F612+F613+F614+F615+F616+F617+F618+F619+F623+F624+F625</f>
        <v>160701.02000000002</v>
      </c>
      <c r="G630" s="212">
        <f t="shared" si="28"/>
        <v>1.4682803211666935</v>
      </c>
      <c r="H630" s="213">
        <f t="shared" si="29"/>
        <v>0.3016160285285286</v>
      </c>
      <c r="I630" s="266">
        <f>SUM(I605+I606+I607+I608+I609+I610+I611+I612+I613+I614+I615+I616+I618+I619+I624+I625)</f>
        <v>0.9999999999999998</v>
      </c>
    </row>
    <row r="631" spans="1:9" ht="24" customHeight="1">
      <c r="A631" s="87"/>
      <c r="B631" s="88"/>
      <c r="C631" s="89"/>
      <c r="D631" s="89"/>
      <c r="E631" s="89"/>
      <c r="F631" s="90"/>
      <c r="G631" s="91"/>
      <c r="H631" s="92"/>
      <c r="I631" s="186">
        <v>9</v>
      </c>
    </row>
    <row r="632" spans="1:9" ht="20.25" customHeight="1">
      <c r="A632" s="503" t="s">
        <v>264</v>
      </c>
      <c r="B632" s="503"/>
      <c r="C632" s="503"/>
      <c r="D632" s="503"/>
      <c r="E632" s="503"/>
      <c r="F632" s="503"/>
      <c r="G632" s="503"/>
      <c r="H632" s="503"/>
      <c r="I632" s="503"/>
    </row>
    <row r="633" spans="1:9" ht="20.25" customHeight="1">
      <c r="A633" s="503" t="s">
        <v>265</v>
      </c>
      <c r="B633" s="503"/>
      <c r="C633" s="503"/>
      <c r="D633" s="503"/>
      <c r="E633" s="503"/>
      <c r="F633" s="503"/>
      <c r="G633" s="503"/>
      <c r="H633" s="503"/>
      <c r="I633" s="503"/>
    </row>
    <row r="634" spans="1:9" ht="20.25" customHeight="1">
      <c r="A634" s="1"/>
      <c r="B634" s="1"/>
      <c r="C634" s="1"/>
      <c r="D634" s="1"/>
      <c r="E634" s="1"/>
      <c r="F634" s="1"/>
      <c r="G634" s="1"/>
      <c r="H634" s="40"/>
      <c r="I634" s="135"/>
    </row>
    <row r="635" spans="1:9" ht="20.25" customHeight="1">
      <c r="A635" s="40"/>
      <c r="B635" s="40"/>
      <c r="C635" s="40"/>
      <c r="D635" s="40"/>
      <c r="E635" s="40"/>
      <c r="F635" s="40"/>
      <c r="G635" s="40"/>
      <c r="H635" s="40"/>
      <c r="I635" s="135"/>
    </row>
    <row r="636" spans="1:9" ht="30" customHeight="1">
      <c r="A636" s="40"/>
      <c r="B636" s="81" t="s">
        <v>266</v>
      </c>
      <c r="C636" s="81"/>
      <c r="D636" s="81"/>
      <c r="E636" s="40"/>
      <c r="F636" s="40"/>
      <c r="G636" s="40"/>
      <c r="H636" s="2"/>
      <c r="I636" s="135"/>
    </row>
    <row r="637" spans="1:9" ht="20.25" customHeight="1">
      <c r="A637" s="40"/>
      <c r="B637" s="2"/>
      <c r="C637" s="60"/>
      <c r="D637" s="60"/>
      <c r="E637" s="40"/>
      <c r="F637" s="40"/>
      <c r="G637" s="40"/>
      <c r="H637" s="2"/>
      <c r="I637" s="135"/>
    </row>
    <row r="638" spans="1:9" ht="20.25" customHeight="1">
      <c r="A638" s="39"/>
      <c r="B638" s="39"/>
      <c r="C638" s="39"/>
      <c r="D638" s="39"/>
      <c r="E638" s="39"/>
      <c r="F638" s="39"/>
      <c r="G638" s="39"/>
      <c r="H638" s="39"/>
      <c r="I638" s="138"/>
    </row>
    <row r="639" spans="1:9" ht="20.25" customHeight="1">
      <c r="A639" s="486" t="s">
        <v>1083</v>
      </c>
      <c r="B639" s="486"/>
      <c r="C639" s="486"/>
      <c r="D639" s="486"/>
      <c r="E639" s="486"/>
      <c r="F639" s="486"/>
      <c r="G639" s="486"/>
      <c r="H639" s="486"/>
      <c r="I639" s="486"/>
    </row>
    <row r="640" spans="1:9" ht="20.25" customHeight="1">
      <c r="A640" s="486" t="s">
        <v>1084</v>
      </c>
      <c r="B640" s="486"/>
      <c r="C640" s="486"/>
      <c r="D640" s="486"/>
      <c r="E640" s="486"/>
      <c r="F640" s="486"/>
      <c r="G640" s="486"/>
      <c r="H640" s="486"/>
      <c r="I640" s="486"/>
    </row>
    <row r="641" spans="1:9" ht="20.25" customHeight="1">
      <c r="A641" s="486" t="s">
        <v>1085</v>
      </c>
      <c r="B641" s="486"/>
      <c r="C641" s="486"/>
      <c r="D641" s="486"/>
      <c r="E641" s="486"/>
      <c r="F641" s="486"/>
      <c r="G641" s="486"/>
      <c r="H641" s="486"/>
      <c r="I641" s="486"/>
    </row>
    <row r="642" spans="1:9" ht="20.25" customHeight="1">
      <c r="A642" s="39"/>
      <c r="B642" s="39"/>
      <c r="C642" s="39"/>
      <c r="D642" s="39"/>
      <c r="E642" s="39"/>
      <c r="F642" s="39"/>
      <c r="G642" s="39"/>
      <c r="H642" s="39"/>
      <c r="I642" s="39"/>
    </row>
    <row r="643" spans="1:9" ht="20.25" customHeight="1">
      <c r="A643" s="40"/>
      <c r="B643" s="40"/>
      <c r="C643" s="40"/>
      <c r="D643" s="41" t="s">
        <v>682</v>
      </c>
      <c r="E643" s="40"/>
      <c r="F643" s="40"/>
      <c r="G643" s="40"/>
      <c r="H643" s="40"/>
      <c r="I643" s="135"/>
    </row>
    <row r="644" spans="1:9" ht="20.25" customHeight="1">
      <c r="A644" s="40"/>
      <c r="B644" s="40"/>
      <c r="C644" s="40"/>
      <c r="D644" s="40"/>
      <c r="E644" s="40"/>
      <c r="F644" s="40"/>
      <c r="G644" s="40"/>
      <c r="H644" s="40"/>
      <c r="I644" s="135"/>
    </row>
    <row r="645" spans="1:9" ht="20.25" customHeight="1">
      <c r="A645" s="489" t="s">
        <v>710</v>
      </c>
      <c r="B645" s="491" t="s">
        <v>711</v>
      </c>
      <c r="C645" s="492"/>
      <c r="D645" s="5" t="s">
        <v>686</v>
      </c>
      <c r="E645" s="5" t="s">
        <v>712</v>
      </c>
      <c r="F645" s="5" t="s">
        <v>686</v>
      </c>
      <c r="G645" s="510" t="s">
        <v>713</v>
      </c>
      <c r="H645" s="511"/>
      <c r="I645" s="6" t="s">
        <v>714</v>
      </c>
    </row>
    <row r="646" spans="1:9" ht="20.25" customHeight="1">
      <c r="A646" s="490"/>
      <c r="B646" s="493"/>
      <c r="C646" s="494"/>
      <c r="D646" s="7" t="s">
        <v>708</v>
      </c>
      <c r="E646" s="7" t="s">
        <v>715</v>
      </c>
      <c r="F646" s="7" t="s">
        <v>716</v>
      </c>
      <c r="G646" s="8" t="s">
        <v>706</v>
      </c>
      <c r="H646" s="9" t="s">
        <v>707</v>
      </c>
      <c r="I646" s="10" t="s">
        <v>717</v>
      </c>
    </row>
    <row r="647" spans="1:9" ht="20.25" customHeight="1">
      <c r="A647" s="11">
        <v>1</v>
      </c>
      <c r="B647" s="535">
        <v>2</v>
      </c>
      <c r="C647" s="536"/>
      <c r="D647" s="12">
        <v>3</v>
      </c>
      <c r="E647" s="12">
        <v>4</v>
      </c>
      <c r="F647" s="12">
        <v>5</v>
      </c>
      <c r="G647" s="12">
        <v>6</v>
      </c>
      <c r="H647" s="12">
        <v>7</v>
      </c>
      <c r="I647" s="13">
        <v>8</v>
      </c>
    </row>
    <row r="648" spans="1:9" ht="20.25" customHeight="1">
      <c r="A648" s="4">
        <v>10</v>
      </c>
      <c r="B648" s="504" t="s">
        <v>547</v>
      </c>
      <c r="C648" s="505"/>
      <c r="D648" s="54">
        <v>0</v>
      </c>
      <c r="E648" s="25">
        <v>0</v>
      </c>
      <c r="F648" s="54">
        <v>70000</v>
      </c>
      <c r="G648" s="15" t="e">
        <f aca="true" t="shared" si="30" ref="G648:G653">F648/D648</f>
        <v>#DIV/0!</v>
      </c>
      <c r="H648" s="16" t="e">
        <f aca="true" t="shared" si="31" ref="H648:H653">F648/E648</f>
        <v>#DIV/0!</v>
      </c>
      <c r="I648" s="27">
        <f>F648/F653</f>
        <v>0.43148616162238795</v>
      </c>
    </row>
    <row r="649" spans="1:9" ht="20.25" customHeight="1">
      <c r="A649" s="4">
        <v>21</v>
      </c>
      <c r="B649" s="504" t="s">
        <v>719</v>
      </c>
      <c r="C649" s="505"/>
      <c r="D649" s="54">
        <v>24915</v>
      </c>
      <c r="E649" s="25">
        <v>284000</v>
      </c>
      <c r="F649" s="54">
        <f>59030+14500</f>
        <v>73530</v>
      </c>
      <c r="G649" s="15">
        <f t="shared" si="30"/>
        <v>2.951234196267309</v>
      </c>
      <c r="H649" s="16">
        <f t="shared" si="31"/>
        <v>0.25890845070422536</v>
      </c>
      <c r="I649" s="27">
        <f>F649/F653</f>
        <v>0.4532453923442027</v>
      </c>
    </row>
    <row r="650" spans="1:9" ht="20.25" customHeight="1">
      <c r="A650" s="4">
        <v>22</v>
      </c>
      <c r="B650" s="504" t="s">
        <v>720</v>
      </c>
      <c r="C650" s="505"/>
      <c r="D650" s="54">
        <v>0</v>
      </c>
      <c r="E650" s="25">
        <v>0</v>
      </c>
      <c r="F650" s="54">
        <f>5000+13700</f>
        <v>18700</v>
      </c>
      <c r="G650" s="15" t="e">
        <f t="shared" si="30"/>
        <v>#DIV/0!</v>
      </c>
      <c r="H650" s="16" t="e">
        <f t="shared" si="31"/>
        <v>#DIV/0!</v>
      </c>
      <c r="I650" s="27">
        <f>F650/F653</f>
        <v>0.11526844603340936</v>
      </c>
    </row>
    <row r="651" spans="1:9" ht="20.25" customHeight="1">
      <c r="A651" s="4">
        <v>31</v>
      </c>
      <c r="B651" s="504" t="s">
        <v>267</v>
      </c>
      <c r="C651" s="505"/>
      <c r="D651" s="54">
        <v>0</v>
      </c>
      <c r="E651" s="25">
        <v>0</v>
      </c>
      <c r="F651" s="54">
        <v>0</v>
      </c>
      <c r="G651" s="15" t="e">
        <f t="shared" si="30"/>
        <v>#DIV/0!</v>
      </c>
      <c r="H651" s="16" t="e">
        <f t="shared" si="31"/>
        <v>#DIV/0!</v>
      </c>
      <c r="I651" s="27">
        <f>F651/F653</f>
        <v>0</v>
      </c>
    </row>
    <row r="652" spans="1:9" ht="20.25" customHeight="1">
      <c r="A652" s="4"/>
      <c r="B652" s="504" t="s">
        <v>548</v>
      </c>
      <c r="C652" s="505"/>
      <c r="D652" s="54">
        <v>0</v>
      </c>
      <c r="E652" s="25">
        <v>0</v>
      </c>
      <c r="F652" s="54">
        <v>0</v>
      </c>
      <c r="G652" s="15" t="e">
        <f t="shared" si="30"/>
        <v>#DIV/0!</v>
      </c>
      <c r="H652" s="16" t="e">
        <f t="shared" si="31"/>
        <v>#DIV/0!</v>
      </c>
      <c r="I652" s="27">
        <f>F652/F653</f>
        <v>0</v>
      </c>
    </row>
    <row r="653" spans="1:9" ht="30" customHeight="1">
      <c r="A653" s="210"/>
      <c r="B653" s="548" t="s">
        <v>69</v>
      </c>
      <c r="C653" s="549"/>
      <c r="D653" s="211">
        <f>SUM(D648:D652)</f>
        <v>24915</v>
      </c>
      <c r="E653" s="211">
        <f>SUM(E648:E652)</f>
        <v>284000</v>
      </c>
      <c r="F653" s="211">
        <f>SUM(F648:F652)</f>
        <v>162230</v>
      </c>
      <c r="G653" s="212">
        <f t="shared" si="30"/>
        <v>6.51133855107365</v>
      </c>
      <c r="H653" s="213">
        <f t="shared" si="31"/>
        <v>0.5712323943661972</v>
      </c>
      <c r="I653" s="213">
        <f>I648+I649+I650+I652</f>
        <v>1</v>
      </c>
    </row>
    <row r="654" spans="1:9" ht="20.25" customHeight="1">
      <c r="A654" s="135"/>
      <c r="B654" s="135"/>
      <c r="C654" s="135"/>
      <c r="D654" s="135"/>
      <c r="E654" s="135"/>
      <c r="F654" s="135"/>
      <c r="G654" s="135"/>
      <c r="H654" s="135"/>
      <c r="I654" s="135"/>
    </row>
    <row r="655" spans="1:9" ht="20.25" customHeight="1">
      <c r="A655" s="486" t="s">
        <v>1086</v>
      </c>
      <c r="B655" s="486"/>
      <c r="C655" s="486"/>
      <c r="D655" s="486"/>
      <c r="E655" s="486"/>
      <c r="F655" s="486"/>
      <c r="G655" s="486"/>
      <c r="H655" s="486"/>
      <c r="I655" s="486"/>
    </row>
    <row r="656" spans="1:9" ht="20.25" customHeight="1">
      <c r="A656" s="486" t="s">
        <v>1087</v>
      </c>
      <c r="B656" s="486"/>
      <c r="C656" s="486"/>
      <c r="D656" s="486"/>
      <c r="E656" s="486"/>
      <c r="F656" s="486"/>
      <c r="G656" s="486"/>
      <c r="H656" s="486"/>
      <c r="I656" s="486"/>
    </row>
    <row r="657" spans="1:9" ht="20.25" customHeight="1">
      <c r="A657" s="39"/>
      <c r="B657" s="39"/>
      <c r="C657" s="39"/>
      <c r="D657" s="39"/>
      <c r="E657" s="39"/>
      <c r="F657" s="39"/>
      <c r="G657" s="39"/>
      <c r="H657" s="39"/>
      <c r="I657" s="39"/>
    </row>
    <row r="658" spans="1:9" ht="20.25" customHeight="1">
      <c r="A658" s="40"/>
      <c r="B658" s="2"/>
      <c r="C658" s="40"/>
      <c r="D658" s="41" t="s">
        <v>682</v>
      </c>
      <c r="E658" s="40"/>
      <c r="F658" s="40"/>
      <c r="G658" s="40"/>
      <c r="H658" s="40"/>
      <c r="I658" s="135"/>
    </row>
    <row r="659" spans="1:9" ht="20.25" customHeight="1">
      <c r="A659" s="40"/>
      <c r="B659" s="2"/>
      <c r="C659" s="40"/>
      <c r="D659" s="40"/>
      <c r="E659" s="40"/>
      <c r="F659" s="40"/>
      <c r="G659" s="40"/>
      <c r="H659" s="40"/>
      <c r="I659" s="135"/>
    </row>
    <row r="660" spans="1:9" ht="20.25" customHeight="1">
      <c r="A660" s="22" t="s">
        <v>683</v>
      </c>
      <c r="B660" s="491" t="s">
        <v>688</v>
      </c>
      <c r="C660" s="492"/>
      <c r="D660" s="5" t="s">
        <v>686</v>
      </c>
      <c r="E660" s="5" t="s">
        <v>712</v>
      </c>
      <c r="F660" s="5" t="s">
        <v>686</v>
      </c>
      <c r="G660" s="510" t="s">
        <v>713</v>
      </c>
      <c r="H660" s="511"/>
      <c r="I660" s="6" t="s">
        <v>714</v>
      </c>
    </row>
    <row r="661" spans="1:9" ht="20.25" customHeight="1">
      <c r="A661" s="23" t="s">
        <v>97</v>
      </c>
      <c r="B661" s="493"/>
      <c r="C661" s="494"/>
      <c r="D661" s="7" t="s">
        <v>708</v>
      </c>
      <c r="E661" s="7" t="s">
        <v>715</v>
      </c>
      <c r="F661" s="7" t="s">
        <v>716</v>
      </c>
      <c r="G661" s="8" t="s">
        <v>706</v>
      </c>
      <c r="H661" s="9" t="s">
        <v>707</v>
      </c>
      <c r="I661" s="10" t="s">
        <v>717</v>
      </c>
    </row>
    <row r="662" spans="1:9" ht="20.25" customHeight="1">
      <c r="A662" s="13">
        <v>1</v>
      </c>
      <c r="B662" s="535">
        <v>2</v>
      </c>
      <c r="C662" s="536"/>
      <c r="D662" s="12">
        <v>3</v>
      </c>
      <c r="E662" s="12">
        <v>4</v>
      </c>
      <c r="F662" s="12">
        <v>5</v>
      </c>
      <c r="G662" s="12">
        <v>6</v>
      </c>
      <c r="H662" s="12">
        <v>7</v>
      </c>
      <c r="I662" s="13">
        <v>8</v>
      </c>
    </row>
    <row r="663" spans="1:9" ht="20.25" customHeight="1">
      <c r="A663" s="4">
        <v>21110</v>
      </c>
      <c r="B663" s="532" t="s">
        <v>268</v>
      </c>
      <c r="C663" s="533"/>
      <c r="D663" s="54">
        <v>0</v>
      </c>
      <c r="E663" s="25">
        <v>0</v>
      </c>
      <c r="F663" s="54">
        <v>0</v>
      </c>
      <c r="G663" s="16" t="e">
        <f aca="true" t="shared" si="32" ref="G663:G669">F663/D663</f>
        <v>#DIV/0!</v>
      </c>
      <c r="H663" s="16" t="e">
        <f aca="true" t="shared" si="33" ref="H663:H669">F663/E663</f>
        <v>#DIV/0!</v>
      </c>
      <c r="I663" s="16">
        <f>F663/F669</f>
        <v>0</v>
      </c>
    </row>
    <row r="664" spans="1:9" ht="20.25" customHeight="1">
      <c r="A664" s="45">
        <v>21120</v>
      </c>
      <c r="B664" s="229" t="s">
        <v>269</v>
      </c>
      <c r="C664" s="261"/>
      <c r="D664" s="54">
        <v>0</v>
      </c>
      <c r="E664" s="25">
        <v>254000</v>
      </c>
      <c r="F664" s="54">
        <v>0</v>
      </c>
      <c r="G664" s="16" t="e">
        <f t="shared" si="32"/>
        <v>#DIV/0!</v>
      </c>
      <c r="H664" s="16">
        <f t="shared" si="33"/>
        <v>0</v>
      </c>
      <c r="I664" s="16">
        <f>F664/F669</f>
        <v>0</v>
      </c>
    </row>
    <row r="665" spans="1:9" ht="20.25" customHeight="1">
      <c r="A665" s="45">
        <v>21200</v>
      </c>
      <c r="B665" s="532" t="s">
        <v>270</v>
      </c>
      <c r="C665" s="533"/>
      <c r="D665" s="54">
        <v>20715</v>
      </c>
      <c r="E665" s="25">
        <v>0</v>
      </c>
      <c r="F665" s="54">
        <v>64030</v>
      </c>
      <c r="G665" s="16">
        <f t="shared" si="32"/>
        <v>3.090996862177166</v>
      </c>
      <c r="H665" s="16" t="e">
        <f t="shared" si="33"/>
        <v>#DIV/0!</v>
      </c>
      <c r="I665" s="16">
        <f>F665/F669</f>
        <v>0.3946865561240214</v>
      </c>
    </row>
    <row r="666" spans="1:9" ht="20.25" customHeight="1">
      <c r="A666" s="45">
        <v>22100</v>
      </c>
      <c r="B666" s="532" t="s">
        <v>271</v>
      </c>
      <c r="C666" s="533"/>
      <c r="D666" s="54">
        <v>0</v>
      </c>
      <c r="E666" s="25">
        <v>0</v>
      </c>
      <c r="F666" s="54">
        <v>0</v>
      </c>
      <c r="G666" s="16" t="e">
        <f t="shared" si="32"/>
        <v>#DIV/0!</v>
      </c>
      <c r="H666" s="16" t="e">
        <f t="shared" si="33"/>
        <v>#DIV/0!</v>
      </c>
      <c r="I666" s="16">
        <f>F666/F669</f>
        <v>0</v>
      </c>
    </row>
    <row r="667" spans="1:9" ht="20.25" customHeight="1">
      <c r="A667" s="4">
        <v>22200</v>
      </c>
      <c r="B667" s="532" t="s">
        <v>272</v>
      </c>
      <c r="C667" s="533"/>
      <c r="D667" s="54">
        <v>4200</v>
      </c>
      <c r="E667" s="25">
        <v>30000</v>
      </c>
      <c r="F667" s="54">
        <v>98200</v>
      </c>
      <c r="G667" s="69">
        <f t="shared" si="32"/>
        <v>23.38095238095238</v>
      </c>
      <c r="H667" s="69">
        <f t="shared" si="33"/>
        <v>3.2733333333333334</v>
      </c>
      <c r="I667" s="16">
        <f>F667/F669</f>
        <v>0.6053134438759785</v>
      </c>
    </row>
    <row r="668" spans="1:9" ht="20.25" customHeight="1">
      <c r="A668" s="24">
        <v>22220</v>
      </c>
      <c r="B668" s="229" t="s">
        <v>468</v>
      </c>
      <c r="C668" s="261"/>
      <c r="D668" s="54">
        <v>0</v>
      </c>
      <c r="E668" s="25">
        <v>0</v>
      </c>
      <c r="F668" s="54">
        <v>0</v>
      </c>
      <c r="G668" s="16" t="e">
        <f t="shared" si="32"/>
        <v>#DIV/0!</v>
      </c>
      <c r="H668" s="16" t="e">
        <f t="shared" si="33"/>
        <v>#DIV/0!</v>
      </c>
      <c r="I668" s="16">
        <f>F668/F669</f>
        <v>0</v>
      </c>
    </row>
    <row r="669" spans="1:9" ht="30" customHeight="1">
      <c r="A669" s="182"/>
      <c r="B669" s="570" t="s">
        <v>95</v>
      </c>
      <c r="C669" s="571"/>
      <c r="D669" s="211">
        <f>D663+D664+D665+D666+D667+D668</f>
        <v>24915</v>
      </c>
      <c r="E669" s="211">
        <f>E663+E664+E665+E666+E667+E668</f>
        <v>284000</v>
      </c>
      <c r="F669" s="211">
        <f>F663+F664+F665+F666+F667+F668</f>
        <v>162230</v>
      </c>
      <c r="G669" s="266">
        <f t="shared" si="32"/>
        <v>6.51133855107365</v>
      </c>
      <c r="H669" s="266">
        <f t="shared" si="33"/>
        <v>0.5712323943661972</v>
      </c>
      <c r="I669" s="266">
        <f>I663+I664+I665+I666+I667+I668</f>
        <v>1</v>
      </c>
    </row>
    <row r="670" spans="1:9" ht="20.25" customHeight="1">
      <c r="A670" s="40"/>
      <c r="B670" s="40"/>
      <c r="C670" s="40"/>
      <c r="D670" s="40"/>
      <c r="E670" s="40"/>
      <c r="F670" s="40"/>
      <c r="G670" s="40"/>
      <c r="H670" s="40"/>
      <c r="I670" s="135"/>
    </row>
    <row r="671" spans="1:9" ht="20.25" customHeight="1">
      <c r="A671" s="486" t="s">
        <v>136</v>
      </c>
      <c r="B671" s="486"/>
      <c r="C671" s="486"/>
      <c r="D671" s="486"/>
      <c r="E671" s="486"/>
      <c r="F671" s="486"/>
      <c r="G671" s="486"/>
      <c r="H671" s="486"/>
      <c r="I671" s="486"/>
    </row>
    <row r="672" spans="1:9" ht="20.25" customHeight="1">
      <c r="A672" s="486" t="s">
        <v>137</v>
      </c>
      <c r="B672" s="486"/>
      <c r="C672" s="486"/>
      <c r="D672" s="486"/>
      <c r="E672" s="486"/>
      <c r="F672" s="486"/>
      <c r="G672" s="486"/>
      <c r="H672" s="486"/>
      <c r="I672" s="486"/>
    </row>
    <row r="673" spans="1:9" ht="20.25" customHeight="1">
      <c r="A673" s="486" t="s">
        <v>303</v>
      </c>
      <c r="B673" s="486"/>
      <c r="C673" s="486"/>
      <c r="D673" s="486"/>
      <c r="E673" s="486"/>
      <c r="F673" s="486"/>
      <c r="G673" s="486"/>
      <c r="H673" s="486"/>
      <c r="I673" s="486"/>
    </row>
    <row r="674" spans="1:9" ht="20.25" customHeight="1">
      <c r="A674" s="486" t="s">
        <v>304</v>
      </c>
      <c r="B674" s="486"/>
      <c r="C674" s="486"/>
      <c r="D674" s="486"/>
      <c r="E674" s="486"/>
      <c r="F674" s="486"/>
      <c r="G674" s="486"/>
      <c r="H674" s="486"/>
      <c r="I674" s="486"/>
    </row>
    <row r="675" spans="1:9" ht="20.25" customHeight="1">
      <c r="A675" s="486" t="s">
        <v>305</v>
      </c>
      <c r="B675" s="486"/>
      <c r="C675" s="486"/>
      <c r="D675" s="486"/>
      <c r="E675" s="486"/>
      <c r="F675" s="486"/>
      <c r="G675" s="486"/>
      <c r="H675" s="486"/>
      <c r="I675" s="486"/>
    </row>
    <row r="676" spans="1:9" ht="20.25" customHeight="1">
      <c r="A676" s="486" t="s">
        <v>1111</v>
      </c>
      <c r="B676" s="486"/>
      <c r="C676" s="486"/>
      <c r="D676" s="486"/>
      <c r="E676" s="486"/>
      <c r="F676" s="486"/>
      <c r="G676" s="486"/>
      <c r="H676" s="486"/>
      <c r="I676" s="486"/>
    </row>
    <row r="677" spans="1:9" ht="20.25" customHeight="1">
      <c r="A677" s="39"/>
      <c r="B677" s="39"/>
      <c r="C677" s="39"/>
      <c r="D677" s="39"/>
      <c r="E677" s="39"/>
      <c r="F677" s="39"/>
      <c r="G677" s="39"/>
      <c r="H677" s="39"/>
      <c r="I677" s="138"/>
    </row>
    <row r="678" spans="1:9" ht="20.25" customHeight="1">
      <c r="A678" s="40"/>
      <c r="B678" s="40"/>
      <c r="C678" s="40"/>
      <c r="D678" s="41" t="s">
        <v>682</v>
      </c>
      <c r="E678" s="40"/>
      <c r="F678" s="40"/>
      <c r="G678" s="40"/>
      <c r="H678" s="40"/>
      <c r="I678" s="135"/>
    </row>
    <row r="679" spans="1:9" ht="20.25" customHeight="1">
      <c r="A679" s="40"/>
      <c r="B679" s="40"/>
      <c r="C679" s="40"/>
      <c r="D679" s="40"/>
      <c r="E679" s="40"/>
      <c r="F679" s="40"/>
      <c r="G679" s="40"/>
      <c r="H679" s="40"/>
      <c r="I679" s="135"/>
    </row>
    <row r="680" spans="1:9" ht="20.25" customHeight="1">
      <c r="A680" s="22" t="s">
        <v>683</v>
      </c>
      <c r="B680" s="491" t="s">
        <v>688</v>
      </c>
      <c r="C680" s="492"/>
      <c r="D680" s="5" t="s">
        <v>686</v>
      </c>
      <c r="E680" s="5" t="s">
        <v>712</v>
      </c>
      <c r="F680" s="5" t="s">
        <v>686</v>
      </c>
      <c r="G680" s="510" t="s">
        <v>713</v>
      </c>
      <c r="H680" s="511"/>
      <c r="I680" s="6" t="s">
        <v>714</v>
      </c>
    </row>
    <row r="681" spans="1:9" ht="20.25" customHeight="1">
      <c r="A681" s="23" t="s">
        <v>684</v>
      </c>
      <c r="B681" s="493"/>
      <c r="C681" s="494"/>
      <c r="D681" s="7" t="s">
        <v>708</v>
      </c>
      <c r="E681" s="7" t="s">
        <v>715</v>
      </c>
      <c r="F681" s="7" t="s">
        <v>716</v>
      </c>
      <c r="G681" s="8" t="s">
        <v>706</v>
      </c>
      <c r="H681" s="9" t="s">
        <v>707</v>
      </c>
      <c r="I681" s="10" t="s">
        <v>717</v>
      </c>
    </row>
    <row r="682" spans="1:9" ht="20.25" customHeight="1">
      <c r="A682" s="13">
        <v>1</v>
      </c>
      <c r="B682" s="535">
        <v>2</v>
      </c>
      <c r="C682" s="536"/>
      <c r="D682" s="12">
        <v>3</v>
      </c>
      <c r="E682" s="12">
        <v>4</v>
      </c>
      <c r="F682" s="12">
        <v>5</v>
      </c>
      <c r="G682" s="12">
        <v>6</v>
      </c>
      <c r="H682" s="12">
        <v>7</v>
      </c>
      <c r="I682" s="13">
        <v>8</v>
      </c>
    </row>
    <row r="683" spans="1:9" ht="20.25" customHeight="1">
      <c r="A683" s="24">
        <v>16019</v>
      </c>
      <c r="B683" s="483" t="s">
        <v>71</v>
      </c>
      <c r="C683" s="484"/>
      <c r="D683" s="54">
        <v>24915</v>
      </c>
      <c r="E683" s="25">
        <v>284000</v>
      </c>
      <c r="F683" s="25">
        <f>80280+5200</f>
        <v>85480</v>
      </c>
      <c r="G683" s="26">
        <f aca="true" t="shared" si="34" ref="G683:G690">F683/D683</f>
        <v>3.4308649407987155</v>
      </c>
      <c r="H683" s="27">
        <f aca="true" t="shared" si="35" ref="H683:H690">F683/E683</f>
        <v>0.3009859154929577</v>
      </c>
      <c r="I683" s="16">
        <f>F683/F711</f>
        <v>0.5269062442211675</v>
      </c>
    </row>
    <row r="684" spans="1:9" ht="20.25" customHeight="1">
      <c r="A684" s="24">
        <v>16319</v>
      </c>
      <c r="B684" s="483" t="s">
        <v>72</v>
      </c>
      <c r="C684" s="484"/>
      <c r="D684" s="54">
        <v>0</v>
      </c>
      <c r="E684" s="25">
        <v>0</v>
      </c>
      <c r="F684" s="25">
        <v>0</v>
      </c>
      <c r="G684" s="15" t="e">
        <f t="shared" si="34"/>
        <v>#DIV/0!</v>
      </c>
      <c r="H684" s="16" t="e">
        <f t="shared" si="35"/>
        <v>#DIV/0!</v>
      </c>
      <c r="I684" s="16">
        <f>F684/F711</f>
        <v>0</v>
      </c>
    </row>
    <row r="685" spans="1:9" ht="20.25" customHeight="1">
      <c r="A685" s="24">
        <v>16637</v>
      </c>
      <c r="B685" s="483" t="s">
        <v>73</v>
      </c>
      <c r="C685" s="484"/>
      <c r="D685" s="54">
        <v>0</v>
      </c>
      <c r="E685" s="25">
        <v>0</v>
      </c>
      <c r="F685" s="25">
        <v>0</v>
      </c>
      <c r="G685" s="15" t="e">
        <f t="shared" si="34"/>
        <v>#DIV/0!</v>
      </c>
      <c r="H685" s="16" t="e">
        <f t="shared" si="35"/>
        <v>#DIV/0!</v>
      </c>
      <c r="I685" s="16">
        <f>F685/F711</f>
        <v>0</v>
      </c>
    </row>
    <row r="686" spans="1:9" ht="20.25" customHeight="1">
      <c r="A686" s="24">
        <v>16795</v>
      </c>
      <c r="B686" s="483" t="s">
        <v>74</v>
      </c>
      <c r="C686" s="484"/>
      <c r="D686" s="54">
        <v>0</v>
      </c>
      <c r="E686" s="25">
        <v>0</v>
      </c>
      <c r="F686" s="25">
        <v>0</v>
      </c>
      <c r="G686" s="15" t="e">
        <f t="shared" si="34"/>
        <v>#DIV/0!</v>
      </c>
      <c r="H686" s="16" t="e">
        <f t="shared" si="35"/>
        <v>#DIV/0!</v>
      </c>
      <c r="I686" s="16">
        <f>F686/F711</f>
        <v>0</v>
      </c>
    </row>
    <row r="687" spans="1:9" ht="20.25" customHeight="1">
      <c r="A687" s="24">
        <v>16919</v>
      </c>
      <c r="B687" s="483" t="s">
        <v>75</v>
      </c>
      <c r="C687" s="484"/>
      <c r="D687" s="54">
        <v>0</v>
      </c>
      <c r="E687" s="25">
        <v>0</v>
      </c>
      <c r="F687" s="25">
        <v>0</v>
      </c>
      <c r="G687" s="15" t="e">
        <f t="shared" si="34"/>
        <v>#DIV/0!</v>
      </c>
      <c r="H687" s="16" t="e">
        <f t="shared" si="35"/>
        <v>#DIV/0!</v>
      </c>
      <c r="I687" s="16">
        <f>F687/F711</f>
        <v>0</v>
      </c>
    </row>
    <row r="688" spans="1:9" ht="20.25" customHeight="1">
      <c r="A688" s="24">
        <v>17519</v>
      </c>
      <c r="B688" s="483" t="s">
        <v>76</v>
      </c>
      <c r="C688" s="484"/>
      <c r="D688" s="54">
        <v>0</v>
      </c>
      <c r="E688" s="25">
        <v>0</v>
      </c>
      <c r="F688" s="25">
        <v>0</v>
      </c>
      <c r="G688" s="15" t="e">
        <f t="shared" si="34"/>
        <v>#DIV/0!</v>
      </c>
      <c r="H688" s="16" t="e">
        <f t="shared" si="35"/>
        <v>#DIV/0!</v>
      </c>
      <c r="I688" s="16">
        <f>F688/F711</f>
        <v>0</v>
      </c>
    </row>
    <row r="689" spans="1:9" ht="20.25" customHeight="1">
      <c r="A689" s="24">
        <v>18019</v>
      </c>
      <c r="B689" s="483" t="s">
        <v>77</v>
      </c>
      <c r="C689" s="484"/>
      <c r="D689" s="54">
        <v>0</v>
      </c>
      <c r="E689" s="25">
        <v>0</v>
      </c>
      <c r="F689" s="25">
        <v>0</v>
      </c>
      <c r="G689" s="15" t="e">
        <f t="shared" si="34"/>
        <v>#DIV/0!</v>
      </c>
      <c r="H689" s="16" t="e">
        <f t="shared" si="35"/>
        <v>#DIV/0!</v>
      </c>
      <c r="I689" s="16">
        <f>F689/F711</f>
        <v>0</v>
      </c>
    </row>
    <row r="690" spans="1:9" ht="20.25" customHeight="1">
      <c r="A690" s="24">
        <v>18423</v>
      </c>
      <c r="B690" s="483" t="s">
        <v>78</v>
      </c>
      <c r="C690" s="484"/>
      <c r="D690" s="54">
        <v>0</v>
      </c>
      <c r="E690" s="25">
        <v>0</v>
      </c>
      <c r="F690" s="25">
        <v>70000</v>
      </c>
      <c r="G690" s="15" t="e">
        <f t="shared" si="34"/>
        <v>#DIV/0!</v>
      </c>
      <c r="H690" s="16" t="e">
        <f t="shared" si="35"/>
        <v>#DIV/0!</v>
      </c>
      <c r="I690" s="16">
        <f>F690/F711</f>
        <v>0.43148616162238795</v>
      </c>
    </row>
    <row r="691" ht="20.25" customHeight="1"/>
    <row r="692" spans="1:9" ht="20.25" customHeight="1">
      <c r="A692" s="3"/>
      <c r="B692" s="2"/>
      <c r="D692" s="217"/>
      <c r="E692" s="89"/>
      <c r="F692" s="89"/>
      <c r="G692" s="216"/>
      <c r="H692" s="92"/>
      <c r="I692" s="272">
        <v>10</v>
      </c>
    </row>
    <row r="693" spans="1:9" ht="20.25" customHeight="1">
      <c r="A693" s="3"/>
      <c r="B693" s="2"/>
      <c r="D693" s="217"/>
      <c r="E693" s="89"/>
      <c r="F693" s="89"/>
      <c r="G693" s="216"/>
      <c r="H693" s="92"/>
      <c r="I693" s="92"/>
    </row>
    <row r="694" spans="1:9" ht="20.25" customHeight="1">
      <c r="A694" s="24">
        <v>19595</v>
      </c>
      <c r="B694" s="483" t="s">
        <v>79</v>
      </c>
      <c r="C694" s="484"/>
      <c r="D694" s="54">
        <v>0</v>
      </c>
      <c r="E694" s="25">
        <v>0</v>
      </c>
      <c r="F694" s="25">
        <v>0</v>
      </c>
      <c r="G694" s="15" t="e">
        <f aca="true" t="shared" si="36" ref="G694:G711">F694/D694</f>
        <v>#DIV/0!</v>
      </c>
      <c r="H694" s="16" t="e">
        <f aca="true" t="shared" si="37" ref="H694:H711">F694/E694</f>
        <v>#DIV/0!</v>
      </c>
      <c r="I694" s="16">
        <f>F694/F711</f>
        <v>0</v>
      </c>
    </row>
    <row r="695" spans="1:9" ht="20.25" customHeight="1">
      <c r="A695" s="24">
        <v>47019</v>
      </c>
      <c r="B695" s="483" t="s">
        <v>80</v>
      </c>
      <c r="C695" s="484"/>
      <c r="D695" s="54">
        <v>0</v>
      </c>
      <c r="E695" s="25">
        <v>0</v>
      </c>
      <c r="F695" s="25">
        <v>0</v>
      </c>
      <c r="G695" s="15" t="e">
        <f t="shared" si="36"/>
        <v>#DIV/0!</v>
      </c>
      <c r="H695" s="16" t="e">
        <f t="shared" si="37"/>
        <v>#DIV/0!</v>
      </c>
      <c r="I695" s="16">
        <f>F695/F711</f>
        <v>0</v>
      </c>
    </row>
    <row r="696" spans="1:9" ht="20.25" customHeight="1">
      <c r="A696" s="24">
        <v>48019</v>
      </c>
      <c r="B696" s="483" t="s">
        <v>81</v>
      </c>
      <c r="C696" s="484"/>
      <c r="D696" s="54">
        <v>0</v>
      </c>
      <c r="E696" s="25">
        <v>0</v>
      </c>
      <c r="F696" s="25">
        <v>0</v>
      </c>
      <c r="G696" s="15" t="e">
        <f t="shared" si="36"/>
        <v>#DIV/0!</v>
      </c>
      <c r="H696" s="16" t="e">
        <f t="shared" si="37"/>
        <v>#DIV/0!</v>
      </c>
      <c r="I696" s="16">
        <f>F696/F711</f>
        <v>0</v>
      </c>
    </row>
    <row r="697" spans="1:9" ht="20.25" customHeight="1">
      <c r="A697" s="24">
        <v>65095</v>
      </c>
      <c r="B697" s="483" t="s">
        <v>82</v>
      </c>
      <c r="C697" s="484"/>
      <c r="D697" s="54">
        <v>0</v>
      </c>
      <c r="E697" s="25">
        <v>0</v>
      </c>
      <c r="F697" s="25">
        <v>0</v>
      </c>
      <c r="G697" s="15" t="e">
        <f t="shared" si="36"/>
        <v>#DIV/0!</v>
      </c>
      <c r="H697" s="16" t="e">
        <f t="shared" si="37"/>
        <v>#DIV/0!</v>
      </c>
      <c r="I697" s="16">
        <f>F697/F711</f>
        <v>0</v>
      </c>
    </row>
    <row r="698" spans="1:9" ht="20.25" customHeight="1">
      <c r="A698" s="24">
        <v>65495</v>
      </c>
      <c r="B698" s="483" t="s">
        <v>83</v>
      </c>
      <c r="C698" s="484"/>
      <c r="D698" s="54">
        <v>0</v>
      </c>
      <c r="E698" s="25">
        <v>0</v>
      </c>
      <c r="F698" s="25">
        <v>0</v>
      </c>
      <c r="G698" s="15" t="e">
        <f t="shared" si="36"/>
        <v>#DIV/0!</v>
      </c>
      <c r="H698" s="16" t="e">
        <f t="shared" si="37"/>
        <v>#DIV/0!</v>
      </c>
      <c r="I698" s="16">
        <f>F698/F711</f>
        <v>0</v>
      </c>
    </row>
    <row r="699" spans="1:9" ht="20.25" customHeight="1">
      <c r="A699" s="24">
        <v>66400</v>
      </c>
      <c r="B699" s="483" t="s">
        <v>84</v>
      </c>
      <c r="C699" s="484"/>
      <c r="D699" s="54">
        <v>0</v>
      </c>
      <c r="E699" s="25">
        <v>0</v>
      </c>
      <c r="F699" s="25">
        <v>0</v>
      </c>
      <c r="G699" s="15" t="e">
        <f t="shared" si="36"/>
        <v>#DIV/0!</v>
      </c>
      <c r="H699" s="16" t="e">
        <f t="shared" si="37"/>
        <v>#DIV/0!</v>
      </c>
      <c r="I699" s="16">
        <f>F699/F711</f>
        <v>0</v>
      </c>
    </row>
    <row r="700" spans="1:9" ht="26.25" customHeight="1">
      <c r="A700" s="35"/>
      <c r="B700" s="530" t="s">
        <v>85</v>
      </c>
      <c r="C700" s="531"/>
      <c r="D700" s="36">
        <f>D701+D702+D703</f>
        <v>0</v>
      </c>
      <c r="E700" s="36">
        <f>E701+E702+E703</f>
        <v>0</v>
      </c>
      <c r="F700" s="85">
        <f>F701+F702+F703</f>
        <v>6750</v>
      </c>
      <c r="G700" s="20" t="e">
        <f t="shared" si="36"/>
        <v>#DIV/0!</v>
      </c>
      <c r="H700" s="21" t="e">
        <f t="shared" si="37"/>
        <v>#DIV/0!</v>
      </c>
      <c r="I700" s="21">
        <f>F700/F711</f>
        <v>0.041607594156444556</v>
      </c>
    </row>
    <row r="701" spans="1:9" ht="20.25" customHeight="1">
      <c r="A701" s="24">
        <v>73028</v>
      </c>
      <c r="B701" s="483" t="s">
        <v>86</v>
      </c>
      <c r="C701" s="484"/>
      <c r="D701" s="54">
        <v>0</v>
      </c>
      <c r="E701" s="25">
        <v>0</v>
      </c>
      <c r="F701" s="25">
        <v>0</v>
      </c>
      <c r="G701" s="15" t="e">
        <f t="shared" si="36"/>
        <v>#DIV/0!</v>
      </c>
      <c r="H701" s="16" t="e">
        <f t="shared" si="37"/>
        <v>#DIV/0!</v>
      </c>
      <c r="I701" s="16">
        <f>F701/F700</f>
        <v>0</v>
      </c>
    </row>
    <row r="702" spans="1:9" ht="20.25" customHeight="1">
      <c r="A702" s="24">
        <v>74100</v>
      </c>
      <c r="B702" s="483" t="s">
        <v>87</v>
      </c>
      <c r="C702" s="484"/>
      <c r="D702" s="54">
        <v>0</v>
      </c>
      <c r="E702" s="25">
        <v>0</v>
      </c>
      <c r="F702" s="25">
        <v>0</v>
      </c>
      <c r="G702" s="15" t="e">
        <f t="shared" si="36"/>
        <v>#DIV/0!</v>
      </c>
      <c r="H702" s="16" t="e">
        <f t="shared" si="37"/>
        <v>#DIV/0!</v>
      </c>
      <c r="I702" s="16">
        <f>F702/F700</f>
        <v>0</v>
      </c>
    </row>
    <row r="703" spans="1:9" ht="20.25" customHeight="1">
      <c r="A703" s="24">
        <v>75590</v>
      </c>
      <c r="B703" s="483" t="s">
        <v>88</v>
      </c>
      <c r="C703" s="484"/>
      <c r="D703" s="54">
        <v>0</v>
      </c>
      <c r="E703" s="25">
        <v>0</v>
      </c>
      <c r="F703" s="25">
        <v>6750</v>
      </c>
      <c r="G703" s="15" t="e">
        <f t="shared" si="36"/>
        <v>#DIV/0!</v>
      </c>
      <c r="H703" s="16" t="e">
        <f t="shared" si="37"/>
        <v>#DIV/0!</v>
      </c>
      <c r="I703" s="16">
        <f>F703/F700</f>
        <v>1</v>
      </c>
    </row>
    <row r="704" spans="1:9" ht="20.25" customHeight="1">
      <c r="A704" s="24">
        <v>76095</v>
      </c>
      <c r="B704" s="483" t="s">
        <v>89</v>
      </c>
      <c r="C704" s="484"/>
      <c r="D704" s="54">
        <v>0</v>
      </c>
      <c r="E704" s="25">
        <v>0</v>
      </c>
      <c r="F704" s="25">
        <v>0</v>
      </c>
      <c r="G704" s="15" t="e">
        <f t="shared" si="36"/>
        <v>#DIV/0!</v>
      </c>
      <c r="H704" s="16" t="e">
        <f t="shared" si="37"/>
        <v>#DIV/0!</v>
      </c>
      <c r="I704" s="16" t="e">
        <f>E704/E700</f>
        <v>#DIV/0!</v>
      </c>
    </row>
    <row r="705" spans="1:9" ht="20.25" customHeight="1">
      <c r="A705" s="24">
        <v>85019</v>
      </c>
      <c r="B705" s="483" t="s">
        <v>90</v>
      </c>
      <c r="C705" s="484"/>
      <c r="D705" s="54">
        <v>0</v>
      </c>
      <c r="E705" s="25">
        <v>0</v>
      </c>
      <c r="F705" s="25">
        <v>0</v>
      </c>
      <c r="G705" s="15" t="e">
        <f t="shared" si="36"/>
        <v>#DIV/0!</v>
      </c>
      <c r="H705" s="16" t="e">
        <f t="shared" si="37"/>
        <v>#DIV/0!</v>
      </c>
      <c r="I705" s="16">
        <f>F705/F711</f>
        <v>0</v>
      </c>
    </row>
    <row r="706" spans="1:9" ht="26.25" customHeight="1">
      <c r="A706" s="35"/>
      <c r="B706" s="530" t="s">
        <v>91</v>
      </c>
      <c r="C706" s="531"/>
      <c r="D706" s="36">
        <f>D707+D708+D709+D710</f>
        <v>0</v>
      </c>
      <c r="E706" s="36">
        <f>E707+E708+E709+E710</f>
        <v>0</v>
      </c>
      <c r="F706" s="36">
        <f>F707+F708+F709+F710</f>
        <v>0</v>
      </c>
      <c r="G706" s="20" t="e">
        <f t="shared" si="36"/>
        <v>#DIV/0!</v>
      </c>
      <c r="H706" s="21" t="e">
        <f t="shared" si="37"/>
        <v>#DIV/0!</v>
      </c>
      <c r="I706" s="21">
        <f>F706/F711</f>
        <v>0</v>
      </c>
    </row>
    <row r="707" spans="1:9" ht="20.25" customHeight="1">
      <c r="A707" s="24">
        <v>92095</v>
      </c>
      <c r="B707" s="483" t="s">
        <v>86</v>
      </c>
      <c r="C707" s="484"/>
      <c r="D707" s="54">
        <v>0</v>
      </c>
      <c r="E707" s="25">
        <v>0</v>
      </c>
      <c r="F707" s="25">
        <v>0</v>
      </c>
      <c r="G707" s="15" t="e">
        <f t="shared" si="36"/>
        <v>#DIV/0!</v>
      </c>
      <c r="H707" s="16" t="e">
        <f t="shared" si="37"/>
        <v>#DIV/0!</v>
      </c>
      <c r="I707" s="16" t="e">
        <f>F707/F706</f>
        <v>#DIV/0!</v>
      </c>
    </row>
    <row r="708" spans="1:9" ht="20.25" customHeight="1">
      <c r="A708" s="24">
        <v>92570</v>
      </c>
      <c r="B708" s="483" t="s">
        <v>92</v>
      </c>
      <c r="C708" s="484"/>
      <c r="D708" s="54">
        <v>0</v>
      </c>
      <c r="E708" s="25">
        <v>0</v>
      </c>
      <c r="F708" s="25">
        <v>0</v>
      </c>
      <c r="G708" s="15" t="e">
        <f t="shared" si="36"/>
        <v>#DIV/0!</v>
      </c>
      <c r="H708" s="16" t="e">
        <f t="shared" si="37"/>
        <v>#DIV/0!</v>
      </c>
      <c r="I708" s="16" t="e">
        <f>F708/F706</f>
        <v>#DIV/0!</v>
      </c>
    </row>
    <row r="709" spans="1:9" ht="20.25" customHeight="1">
      <c r="A709" s="24">
        <v>93540</v>
      </c>
      <c r="B709" s="483" t="s">
        <v>93</v>
      </c>
      <c r="C709" s="484"/>
      <c r="D709" s="54">
        <v>0</v>
      </c>
      <c r="E709" s="25">
        <v>0</v>
      </c>
      <c r="F709" s="25">
        <v>0</v>
      </c>
      <c r="G709" s="15" t="e">
        <f t="shared" si="36"/>
        <v>#DIV/0!</v>
      </c>
      <c r="H709" s="16" t="e">
        <f t="shared" si="37"/>
        <v>#DIV/0!</v>
      </c>
      <c r="I709" s="16" t="e">
        <f>F709/F706</f>
        <v>#DIV/0!</v>
      </c>
    </row>
    <row r="710" spans="1:9" ht="20.25" customHeight="1">
      <c r="A710" s="24">
        <v>94740</v>
      </c>
      <c r="B710" s="483" t="s">
        <v>554</v>
      </c>
      <c r="C710" s="484"/>
      <c r="D710" s="54">
        <v>0</v>
      </c>
      <c r="E710" s="25">
        <v>0</v>
      </c>
      <c r="F710" s="25">
        <v>0</v>
      </c>
      <c r="G710" s="15" t="e">
        <f t="shared" si="36"/>
        <v>#DIV/0!</v>
      </c>
      <c r="H710" s="16" t="e">
        <f t="shared" si="37"/>
        <v>#DIV/0!</v>
      </c>
      <c r="I710" s="16" t="e">
        <f>F710/F706</f>
        <v>#DIV/0!</v>
      </c>
    </row>
    <row r="711" spans="1:9" ht="30" customHeight="1">
      <c r="A711" s="271"/>
      <c r="B711" s="495" t="s">
        <v>95</v>
      </c>
      <c r="C711" s="496"/>
      <c r="D711" s="211">
        <f>D683+D684+D685+D686+D687+D688+D689+D690+D694+D695+D696+D698+D699+D700+D705+D706</f>
        <v>24915</v>
      </c>
      <c r="E711" s="211">
        <f>E683+E684+E685+E686+E687+E688+E689+E690+E694+E695+E696+E698+E699+E700+E705+E706</f>
        <v>284000</v>
      </c>
      <c r="F711" s="211">
        <f>F683+F684+F685+F686+F687+F688+F689+F690+F694+F695+F696+F697+F698+F699+F700+F704+F705+F706</f>
        <v>162230</v>
      </c>
      <c r="G711" s="265">
        <f t="shared" si="36"/>
        <v>6.51133855107365</v>
      </c>
      <c r="H711" s="266">
        <f t="shared" si="37"/>
        <v>0.5712323943661972</v>
      </c>
      <c r="I711" s="266">
        <f>SUM(I683+I684+I685+I686+I687+I688+I689+I690+I694+I695+I696+I697+I699+I700+I705+I706)</f>
        <v>1</v>
      </c>
    </row>
    <row r="712" spans="1:9" ht="20.25" customHeight="1">
      <c r="A712" s="87"/>
      <c r="B712" s="93"/>
      <c r="C712" s="94"/>
      <c r="D712" s="94"/>
      <c r="E712" s="94"/>
      <c r="F712" s="95"/>
      <c r="G712" s="96"/>
      <c r="H712" s="135"/>
      <c r="I712" s="135"/>
    </row>
    <row r="713" spans="1:9" ht="20.25" customHeight="1">
      <c r="A713" s="486" t="s">
        <v>313</v>
      </c>
      <c r="B713" s="486"/>
      <c r="C713" s="486"/>
      <c r="D713" s="486"/>
      <c r="E713" s="486"/>
      <c r="F713" s="486"/>
      <c r="G713" s="486"/>
      <c r="H713" s="486"/>
      <c r="I713" s="486"/>
    </row>
    <row r="714" spans="1:9" ht="20.25" customHeight="1">
      <c r="A714" s="486" t="s">
        <v>314</v>
      </c>
      <c r="B714" s="486"/>
      <c r="C714" s="486"/>
      <c r="D714" s="486"/>
      <c r="E714" s="486"/>
      <c r="F714" s="486"/>
      <c r="G714" s="486"/>
      <c r="H714" s="486"/>
      <c r="I714" s="486"/>
    </row>
    <row r="715" spans="1:9" ht="20.25" customHeight="1">
      <c r="A715" s="39"/>
      <c r="B715" s="39"/>
      <c r="C715" s="39"/>
      <c r="D715" s="39"/>
      <c r="E715" s="39"/>
      <c r="F715" s="39"/>
      <c r="G715" s="39"/>
      <c r="H715" s="40"/>
      <c r="I715" s="135"/>
    </row>
    <row r="716" spans="1:9" ht="20.25" customHeight="1">
      <c r="A716" s="40"/>
      <c r="B716" s="40"/>
      <c r="C716" s="40"/>
      <c r="D716" s="40"/>
      <c r="E716" s="40"/>
      <c r="F716" s="40"/>
      <c r="G716" s="40"/>
      <c r="H716" s="40"/>
      <c r="I716" s="135"/>
    </row>
    <row r="717" spans="1:9" ht="30" customHeight="1">
      <c r="A717" s="40"/>
      <c r="B717" s="81" t="s">
        <v>469</v>
      </c>
      <c r="C717" s="81"/>
      <c r="D717" s="40"/>
      <c r="E717" s="40"/>
      <c r="F717" s="40"/>
      <c r="G717" s="40"/>
      <c r="H717" s="40"/>
      <c r="I717" s="135"/>
    </row>
    <row r="718" spans="1:9" ht="20.25" customHeight="1">
      <c r="A718" s="40"/>
      <c r="B718" s="81"/>
      <c r="C718" s="81"/>
      <c r="D718" s="40"/>
      <c r="E718" s="40"/>
      <c r="F718" s="40"/>
      <c r="G718" s="40"/>
      <c r="H718" s="40"/>
      <c r="I718" s="135"/>
    </row>
    <row r="719" spans="1:9" ht="20.25" customHeight="1">
      <c r="A719" s="40"/>
      <c r="B719" s="40"/>
      <c r="C719" s="40"/>
      <c r="D719" s="40"/>
      <c r="E719" s="40"/>
      <c r="F719" s="40"/>
      <c r="G719" s="40"/>
      <c r="H719" s="40"/>
      <c r="I719" s="135"/>
    </row>
    <row r="720" spans="1:9" ht="20.25" customHeight="1">
      <c r="A720" s="486" t="s">
        <v>315</v>
      </c>
      <c r="B720" s="486"/>
      <c r="C720" s="486"/>
      <c r="D720" s="486"/>
      <c r="E720" s="486"/>
      <c r="F720" s="486"/>
      <c r="G720" s="486"/>
      <c r="H720" s="486"/>
      <c r="I720" s="486"/>
    </row>
    <row r="721" spans="1:9" ht="20.25" customHeight="1">
      <c r="A721" s="486" t="s">
        <v>316</v>
      </c>
      <c r="B721" s="486"/>
      <c r="C721" s="486"/>
      <c r="D721" s="486"/>
      <c r="E721" s="486"/>
      <c r="F721" s="486"/>
      <c r="G721" s="486"/>
      <c r="H721" s="486"/>
      <c r="I721" s="486"/>
    </row>
    <row r="722" spans="1:9" ht="20.25" customHeight="1">
      <c r="A722" s="486" t="s">
        <v>317</v>
      </c>
      <c r="B722" s="486"/>
      <c r="C722" s="486"/>
      <c r="D722" s="486"/>
      <c r="E722" s="486"/>
      <c r="F722" s="486"/>
      <c r="G722" s="486"/>
      <c r="H722" s="486"/>
      <c r="I722" s="486"/>
    </row>
    <row r="723" spans="1:9" ht="20.25" customHeight="1">
      <c r="A723" s="40"/>
      <c r="B723" s="40"/>
      <c r="C723" s="40"/>
      <c r="D723" s="40"/>
      <c r="E723" s="40"/>
      <c r="F723" s="2"/>
      <c r="G723" s="40"/>
      <c r="H723" s="97"/>
      <c r="I723" s="135"/>
    </row>
    <row r="724" spans="1:9" ht="20.25" customHeight="1">
      <c r="A724" s="40"/>
      <c r="B724" s="40"/>
      <c r="C724" s="40"/>
      <c r="D724" s="41" t="s">
        <v>682</v>
      </c>
      <c r="E724" s="40"/>
      <c r="F724" s="40"/>
      <c r="G724" s="40"/>
      <c r="H724" s="2"/>
      <c r="I724" s="135"/>
    </row>
    <row r="725" spans="1:9" ht="20.25" customHeight="1">
      <c r="A725" s="40"/>
      <c r="B725" s="40"/>
      <c r="C725" s="40"/>
      <c r="D725" s="40"/>
      <c r="E725" s="40"/>
      <c r="F725" s="40"/>
      <c r="G725" s="40"/>
      <c r="H725" s="3"/>
      <c r="I725" s="135"/>
    </row>
    <row r="726" spans="1:9" ht="20.25" customHeight="1">
      <c r="A726" s="489" t="s">
        <v>710</v>
      </c>
      <c r="B726" s="491" t="s">
        <v>711</v>
      </c>
      <c r="C726" s="492"/>
      <c r="D726" s="5" t="s">
        <v>686</v>
      </c>
      <c r="E726" s="5" t="s">
        <v>712</v>
      </c>
      <c r="F726" s="5" t="s">
        <v>686</v>
      </c>
      <c r="G726" s="510" t="s">
        <v>713</v>
      </c>
      <c r="H726" s="511"/>
      <c r="I726" s="6" t="s">
        <v>714</v>
      </c>
    </row>
    <row r="727" spans="1:9" ht="20.25" customHeight="1">
      <c r="A727" s="490"/>
      <c r="B727" s="493"/>
      <c r="C727" s="494"/>
      <c r="D727" s="7" t="s">
        <v>708</v>
      </c>
      <c r="E727" s="7" t="s">
        <v>715</v>
      </c>
      <c r="F727" s="7" t="s">
        <v>716</v>
      </c>
      <c r="G727" s="8" t="s">
        <v>706</v>
      </c>
      <c r="H727" s="9" t="s">
        <v>707</v>
      </c>
      <c r="I727" s="10" t="s">
        <v>717</v>
      </c>
    </row>
    <row r="728" spans="1:9" ht="20.25" customHeight="1">
      <c r="A728" s="17">
        <v>1</v>
      </c>
      <c r="B728" s="546">
        <v>2</v>
      </c>
      <c r="C728" s="547"/>
      <c r="D728" s="215">
        <v>3</v>
      </c>
      <c r="E728" s="215">
        <v>4</v>
      </c>
      <c r="F728" s="215">
        <v>5</v>
      </c>
      <c r="G728" s="215">
        <v>6</v>
      </c>
      <c r="H728" s="215">
        <v>7</v>
      </c>
      <c r="I728" s="63">
        <v>8</v>
      </c>
    </row>
    <row r="729" spans="1:9" ht="20.25" customHeight="1">
      <c r="A729" s="4">
        <v>10</v>
      </c>
      <c r="B729" s="504" t="s">
        <v>470</v>
      </c>
      <c r="C729" s="505"/>
      <c r="D729" s="54">
        <v>0</v>
      </c>
      <c r="E729" s="25">
        <f>2744692+310000</f>
        <v>3054692</v>
      </c>
      <c r="F729" s="54">
        <f>87878</f>
        <v>87878</v>
      </c>
      <c r="G729" s="15" t="e">
        <f aca="true" t="shared" si="38" ref="G729:G734">F729/D729</f>
        <v>#DIV/0!</v>
      </c>
      <c r="H729" s="16">
        <f aca="true" t="shared" si="39" ref="H729:H734">F729/E729</f>
        <v>0.028768203144539612</v>
      </c>
      <c r="I729" s="27">
        <f>F729/F734</f>
        <v>0.46383655184884875</v>
      </c>
    </row>
    <row r="730" spans="1:9" ht="20.25" customHeight="1">
      <c r="A730" s="4">
        <v>21</v>
      </c>
      <c r="B730" s="504" t="s">
        <v>471</v>
      </c>
      <c r="C730" s="505"/>
      <c r="D730" s="54">
        <v>0</v>
      </c>
      <c r="E730" s="25">
        <f>1387155+473000+246823</f>
        <v>2106978</v>
      </c>
      <c r="F730" s="54">
        <v>0</v>
      </c>
      <c r="G730" s="15" t="e">
        <f t="shared" si="38"/>
        <v>#DIV/0!</v>
      </c>
      <c r="H730" s="16">
        <f t="shared" si="39"/>
        <v>0</v>
      </c>
      <c r="I730" s="27">
        <f>F730/F734</f>
        <v>0</v>
      </c>
    </row>
    <row r="731" spans="1:9" ht="20.25" customHeight="1">
      <c r="A731" s="4">
        <v>22</v>
      </c>
      <c r="B731" s="504" t="s">
        <v>259</v>
      </c>
      <c r="C731" s="505"/>
      <c r="D731" s="54">
        <v>0</v>
      </c>
      <c r="E731" s="25">
        <v>0</v>
      </c>
      <c r="F731" s="54">
        <f>75548.1+17100</f>
        <v>92648.1</v>
      </c>
      <c r="G731" s="15" t="e">
        <f t="shared" si="38"/>
        <v>#DIV/0!</v>
      </c>
      <c r="H731" s="16" t="e">
        <f t="shared" si="39"/>
        <v>#DIV/0!</v>
      </c>
      <c r="I731" s="27">
        <f>F731/F734</f>
        <v>0.48901403353908063</v>
      </c>
    </row>
    <row r="732" spans="1:9" ht="20.25" customHeight="1">
      <c r="A732" s="4">
        <v>31</v>
      </c>
      <c r="B732" s="504" t="s">
        <v>472</v>
      </c>
      <c r="C732" s="505"/>
      <c r="D732" s="54">
        <v>0</v>
      </c>
      <c r="E732" s="25">
        <v>0</v>
      </c>
      <c r="F732" s="54">
        <v>0</v>
      </c>
      <c r="G732" s="15" t="e">
        <f t="shared" si="38"/>
        <v>#DIV/0!</v>
      </c>
      <c r="H732" s="16" t="e">
        <f t="shared" si="39"/>
        <v>#DIV/0!</v>
      </c>
      <c r="I732" s="27">
        <f>F732/F734</f>
        <v>0</v>
      </c>
    </row>
    <row r="733" spans="1:9" ht="20.25" customHeight="1">
      <c r="A733" s="4"/>
      <c r="B733" s="504" t="s">
        <v>473</v>
      </c>
      <c r="C733" s="505"/>
      <c r="D733" s="54">
        <v>15340</v>
      </c>
      <c r="E733" s="25">
        <v>0</v>
      </c>
      <c r="F733" s="54">
        <v>8932.88</v>
      </c>
      <c r="G733" s="15">
        <f t="shared" si="38"/>
        <v>0.5823259452411994</v>
      </c>
      <c r="H733" s="16" t="e">
        <f t="shared" si="39"/>
        <v>#DIV/0!</v>
      </c>
      <c r="I733" s="27">
        <f>F733/F734</f>
        <v>0.04714941461207064</v>
      </c>
    </row>
    <row r="734" spans="1:9" ht="30" customHeight="1">
      <c r="A734" s="11"/>
      <c r="B734" s="572" t="s">
        <v>95</v>
      </c>
      <c r="C734" s="573"/>
      <c r="D734" s="36">
        <f>D729+D730+D731+D732+D733</f>
        <v>15340</v>
      </c>
      <c r="E734" s="36">
        <f>E729+E730+E731+E732+E733</f>
        <v>5161670</v>
      </c>
      <c r="F734" s="36">
        <f>F729+F730+F731+F732+F733</f>
        <v>189458.98</v>
      </c>
      <c r="G734" s="98">
        <f t="shared" si="38"/>
        <v>12.350650586701434</v>
      </c>
      <c r="H734" s="38">
        <f t="shared" si="39"/>
        <v>0.03670497726510994</v>
      </c>
      <c r="I734" s="38">
        <f>I729+I730+I731+I732+I733</f>
        <v>1</v>
      </c>
    </row>
    <row r="735" spans="1:9" ht="20.25" customHeight="1">
      <c r="A735" s="99"/>
      <c r="B735" s="99"/>
      <c r="C735" s="99"/>
      <c r="D735" s="99"/>
      <c r="E735" s="99"/>
      <c r="F735" s="99"/>
      <c r="G735" s="99"/>
      <c r="H735" s="40"/>
      <c r="I735" s="135"/>
    </row>
    <row r="736" spans="1:9" ht="20.25" customHeight="1">
      <c r="A736" s="503" t="s">
        <v>318</v>
      </c>
      <c r="B736" s="503"/>
      <c r="C736" s="503"/>
      <c r="D736" s="503"/>
      <c r="E736" s="503"/>
      <c r="F736" s="503"/>
      <c r="G736" s="503"/>
      <c r="H736" s="503"/>
      <c r="I736" s="503"/>
    </row>
    <row r="737" spans="1:9" ht="20.25" customHeight="1">
      <c r="A737" s="503" t="s">
        <v>319</v>
      </c>
      <c r="B737" s="503"/>
      <c r="C737" s="503"/>
      <c r="D737" s="503"/>
      <c r="E737" s="503"/>
      <c r="F737" s="503"/>
      <c r="G737" s="503"/>
      <c r="H737" s="503"/>
      <c r="I737" s="503"/>
    </row>
    <row r="738" spans="1:9" ht="20.25" customHeight="1">
      <c r="A738" s="40"/>
      <c r="B738" s="100"/>
      <c r="C738" s="40"/>
      <c r="D738" s="41"/>
      <c r="E738" s="40"/>
      <c r="F738" s="40"/>
      <c r="G738" s="40"/>
      <c r="H738" s="40"/>
      <c r="I738" s="135"/>
    </row>
    <row r="739" spans="1:9" ht="20.25" customHeight="1">
      <c r="A739" s="40"/>
      <c r="B739" s="40"/>
      <c r="C739" s="40"/>
      <c r="D739" s="41" t="s">
        <v>682</v>
      </c>
      <c r="E739" s="40"/>
      <c r="F739" s="40"/>
      <c r="G739" s="40"/>
      <c r="H739" s="40"/>
      <c r="I739" s="135"/>
    </row>
    <row r="740" spans="1:9" ht="20.25" customHeight="1">
      <c r="A740" s="40"/>
      <c r="B740" s="40"/>
      <c r="C740" s="40"/>
      <c r="D740" s="40"/>
      <c r="E740" s="40"/>
      <c r="F740" s="40"/>
      <c r="G740" s="40"/>
      <c r="H740" s="40"/>
      <c r="I740" s="135"/>
    </row>
    <row r="741" spans="1:9" ht="20.25" customHeight="1">
      <c r="A741" s="22" t="s">
        <v>683</v>
      </c>
      <c r="B741" s="491" t="s">
        <v>688</v>
      </c>
      <c r="C741" s="492"/>
      <c r="D741" s="5" t="s">
        <v>686</v>
      </c>
      <c r="E741" s="5" t="s">
        <v>712</v>
      </c>
      <c r="F741" s="5" t="s">
        <v>686</v>
      </c>
      <c r="G741" s="510" t="s">
        <v>713</v>
      </c>
      <c r="H741" s="511"/>
      <c r="I741" s="6" t="s">
        <v>714</v>
      </c>
    </row>
    <row r="742" spans="1:9" ht="20.25" customHeight="1">
      <c r="A742" s="23" t="s">
        <v>684</v>
      </c>
      <c r="B742" s="493"/>
      <c r="C742" s="494"/>
      <c r="D742" s="7" t="s">
        <v>708</v>
      </c>
      <c r="E742" s="7" t="s">
        <v>715</v>
      </c>
      <c r="F742" s="7" t="s">
        <v>716</v>
      </c>
      <c r="G742" s="8" t="s">
        <v>706</v>
      </c>
      <c r="H742" s="9" t="s">
        <v>707</v>
      </c>
      <c r="I742" s="10" t="s">
        <v>717</v>
      </c>
    </row>
    <row r="743" spans="1:9" ht="20.25" customHeight="1">
      <c r="A743" s="13">
        <v>1</v>
      </c>
      <c r="B743" s="535">
        <v>2</v>
      </c>
      <c r="C743" s="536"/>
      <c r="D743" s="12">
        <v>3</v>
      </c>
      <c r="E743" s="12">
        <v>4</v>
      </c>
      <c r="F743" s="12">
        <v>5</v>
      </c>
      <c r="G743" s="12">
        <v>6</v>
      </c>
      <c r="H743" s="12">
        <v>7</v>
      </c>
      <c r="I743" s="13">
        <v>8</v>
      </c>
    </row>
    <row r="744" spans="1:9" ht="20.25" customHeight="1">
      <c r="A744" s="24">
        <v>16019</v>
      </c>
      <c r="B744" s="483" t="s">
        <v>71</v>
      </c>
      <c r="C744" s="484"/>
      <c r="D744" s="25">
        <v>0</v>
      </c>
      <c r="E744" s="25">
        <v>646822.88</v>
      </c>
      <c r="F744" s="25">
        <f>7878+48000</f>
        <v>55878</v>
      </c>
      <c r="G744" s="15" t="e">
        <f aca="true" t="shared" si="40" ref="G744:G751">F744/D744</f>
        <v>#DIV/0!</v>
      </c>
      <c r="H744" s="16">
        <f aca="true" t="shared" si="41" ref="H744:H751">F744/E744</f>
        <v>0.08638840976064421</v>
      </c>
      <c r="I744" s="16">
        <f>F744/F770</f>
        <v>0.29493455522667755</v>
      </c>
    </row>
    <row r="745" spans="1:9" ht="20.25" customHeight="1">
      <c r="A745" s="24">
        <v>16319</v>
      </c>
      <c r="B745" s="483" t="s">
        <v>72</v>
      </c>
      <c r="C745" s="484"/>
      <c r="D745" s="25">
        <v>0</v>
      </c>
      <c r="E745" s="25">
        <v>50000</v>
      </c>
      <c r="F745" s="25">
        <v>0</v>
      </c>
      <c r="G745" s="15" t="e">
        <f t="shared" si="40"/>
        <v>#DIV/0!</v>
      </c>
      <c r="H745" s="16">
        <f t="shared" si="41"/>
        <v>0</v>
      </c>
      <c r="I745" s="16">
        <f>F745/F770</f>
        <v>0</v>
      </c>
    </row>
    <row r="746" spans="1:9" ht="20.25" customHeight="1">
      <c r="A746" s="24">
        <v>16637</v>
      </c>
      <c r="B746" s="483" t="s">
        <v>73</v>
      </c>
      <c r="C746" s="484"/>
      <c r="D746" s="25">
        <v>0</v>
      </c>
      <c r="E746" s="25">
        <v>0</v>
      </c>
      <c r="F746" s="25">
        <v>0</v>
      </c>
      <c r="G746" s="15" t="e">
        <f t="shared" si="40"/>
        <v>#DIV/0!</v>
      </c>
      <c r="H746" s="16" t="e">
        <f t="shared" si="41"/>
        <v>#DIV/0!</v>
      </c>
      <c r="I746" s="16">
        <f>F746/F770</f>
        <v>0</v>
      </c>
    </row>
    <row r="747" spans="1:9" ht="20.25" customHeight="1">
      <c r="A747" s="24">
        <v>16795</v>
      </c>
      <c r="B747" s="483" t="s">
        <v>74</v>
      </c>
      <c r="C747" s="484"/>
      <c r="D747" s="25">
        <v>0</v>
      </c>
      <c r="E747" s="25">
        <v>0</v>
      </c>
      <c r="F747" s="25">
        <v>0</v>
      </c>
      <c r="G747" s="15" t="e">
        <f t="shared" si="40"/>
        <v>#DIV/0!</v>
      </c>
      <c r="H747" s="16" t="e">
        <f t="shared" si="41"/>
        <v>#DIV/0!</v>
      </c>
      <c r="I747" s="16">
        <f>F747/F770</f>
        <v>0</v>
      </c>
    </row>
    <row r="748" spans="1:9" ht="20.25" customHeight="1">
      <c r="A748" s="24">
        <v>16919</v>
      </c>
      <c r="B748" s="483" t="s">
        <v>75</v>
      </c>
      <c r="C748" s="484"/>
      <c r="D748" s="25">
        <v>0</v>
      </c>
      <c r="E748" s="25">
        <v>0</v>
      </c>
      <c r="F748" s="25">
        <v>0</v>
      </c>
      <c r="G748" s="15" t="e">
        <f t="shared" si="40"/>
        <v>#DIV/0!</v>
      </c>
      <c r="H748" s="16" t="e">
        <f t="shared" si="41"/>
        <v>#DIV/0!</v>
      </c>
      <c r="I748" s="16">
        <f>F748/F770</f>
        <v>0</v>
      </c>
    </row>
    <row r="749" spans="1:9" ht="20.25" customHeight="1">
      <c r="A749" s="24">
        <v>17519</v>
      </c>
      <c r="B749" s="483" t="s">
        <v>76</v>
      </c>
      <c r="C749" s="484"/>
      <c r="D749" s="25">
        <v>0</v>
      </c>
      <c r="E749" s="25">
        <v>0</v>
      </c>
      <c r="F749" s="25">
        <v>0</v>
      </c>
      <c r="G749" s="15" t="e">
        <f t="shared" si="40"/>
        <v>#DIV/0!</v>
      </c>
      <c r="H749" s="16" t="e">
        <f t="shared" si="41"/>
        <v>#DIV/0!</v>
      </c>
      <c r="I749" s="16">
        <f>F749/F770</f>
        <v>0</v>
      </c>
    </row>
    <row r="750" spans="1:9" ht="20.25" customHeight="1">
      <c r="A750" s="24">
        <v>18019</v>
      </c>
      <c r="B750" s="483" t="s">
        <v>77</v>
      </c>
      <c r="C750" s="484"/>
      <c r="D750" s="25">
        <v>0</v>
      </c>
      <c r="E750" s="25">
        <v>3304269.12</v>
      </c>
      <c r="F750" s="25">
        <v>80000</v>
      </c>
      <c r="G750" s="15" t="e">
        <f t="shared" si="40"/>
        <v>#DIV/0!</v>
      </c>
      <c r="H750" s="16">
        <f t="shared" si="41"/>
        <v>0.02421110299877753</v>
      </c>
      <c r="I750" s="16">
        <f>F750/F770</f>
        <v>0.42225499155542795</v>
      </c>
    </row>
    <row r="751" spans="1:9" ht="20.25" customHeight="1">
      <c r="A751" s="24">
        <v>18423</v>
      </c>
      <c r="B751" s="483" t="s">
        <v>78</v>
      </c>
      <c r="C751" s="484"/>
      <c r="D751" s="25">
        <v>0</v>
      </c>
      <c r="E751" s="25">
        <v>114000</v>
      </c>
      <c r="F751" s="25">
        <v>27548.1</v>
      </c>
      <c r="G751" s="15" t="e">
        <f t="shared" si="40"/>
        <v>#DIV/0!</v>
      </c>
      <c r="H751" s="16">
        <f t="shared" si="41"/>
        <v>0.24164999999999998</v>
      </c>
      <c r="I751" s="16">
        <f>F751/F770</f>
        <v>0.14540403416085104</v>
      </c>
    </row>
    <row r="752" spans="1:9" ht="20.25" customHeight="1">
      <c r="A752" s="3"/>
      <c r="B752" s="488"/>
      <c r="C752" s="488"/>
      <c r="D752" s="89"/>
      <c r="E752" s="89"/>
      <c r="F752" s="89"/>
      <c r="G752" s="216"/>
      <c r="H752" s="92"/>
      <c r="I752" s="277">
        <v>11</v>
      </c>
    </row>
    <row r="753" spans="1:9" ht="20.25" customHeight="1">
      <c r="A753" s="24">
        <v>19595</v>
      </c>
      <c r="B753" s="483" t="s">
        <v>79</v>
      </c>
      <c r="C753" s="484"/>
      <c r="D753" s="25">
        <v>0</v>
      </c>
      <c r="E753" s="25">
        <v>100000</v>
      </c>
      <c r="F753" s="25">
        <v>0</v>
      </c>
      <c r="G753" s="15" t="e">
        <f aca="true" t="shared" si="42" ref="G753:G770">F753/D753</f>
        <v>#DIV/0!</v>
      </c>
      <c r="H753" s="16">
        <f aca="true" t="shared" si="43" ref="H753:H770">F753/E753</f>
        <v>0</v>
      </c>
      <c r="I753" s="16">
        <f>F753/F770</f>
        <v>0</v>
      </c>
    </row>
    <row r="754" spans="1:9" ht="20.25" customHeight="1">
      <c r="A754" s="24">
        <v>47019</v>
      </c>
      <c r="B754" s="483" t="s">
        <v>80</v>
      </c>
      <c r="C754" s="484"/>
      <c r="D754" s="25">
        <v>0</v>
      </c>
      <c r="E754" s="25">
        <v>200000</v>
      </c>
      <c r="F754" s="25">
        <v>0</v>
      </c>
      <c r="G754" s="15" t="e">
        <f t="shared" si="42"/>
        <v>#DIV/0!</v>
      </c>
      <c r="H754" s="16">
        <f t="shared" si="43"/>
        <v>0</v>
      </c>
      <c r="I754" s="16">
        <f>F754/F770</f>
        <v>0</v>
      </c>
    </row>
    <row r="755" spans="1:9" ht="20.25" customHeight="1">
      <c r="A755" s="24">
        <v>48019</v>
      </c>
      <c r="B755" s="483" t="s">
        <v>81</v>
      </c>
      <c r="C755" s="484"/>
      <c r="D755" s="25">
        <v>15340</v>
      </c>
      <c r="E755" s="25">
        <v>45000</v>
      </c>
      <c r="F755" s="25">
        <v>8932.88</v>
      </c>
      <c r="G755" s="15">
        <f t="shared" si="42"/>
        <v>0.5823259452411994</v>
      </c>
      <c r="H755" s="16">
        <f t="shared" si="43"/>
        <v>0.19850844444444443</v>
      </c>
      <c r="I755" s="16">
        <f>F755/F770</f>
        <v>0.04714941461207064</v>
      </c>
    </row>
    <row r="756" spans="1:9" ht="20.25" customHeight="1">
      <c r="A756" s="24">
        <v>65095</v>
      </c>
      <c r="B756" s="483" t="s">
        <v>82</v>
      </c>
      <c r="C756" s="484"/>
      <c r="D756" s="25">
        <v>0</v>
      </c>
      <c r="E756" s="25">
        <v>69000</v>
      </c>
      <c r="F756" s="25">
        <v>0</v>
      </c>
      <c r="G756" s="15" t="e">
        <f t="shared" si="42"/>
        <v>#DIV/0!</v>
      </c>
      <c r="H756" s="16">
        <f t="shared" si="43"/>
        <v>0</v>
      </c>
      <c r="I756" s="16">
        <f>F756/F770</f>
        <v>0</v>
      </c>
    </row>
    <row r="757" spans="1:9" ht="20.25" customHeight="1">
      <c r="A757" s="24">
        <v>65495</v>
      </c>
      <c r="B757" s="483" t="s">
        <v>83</v>
      </c>
      <c r="C757" s="484"/>
      <c r="D757" s="25">
        <v>0</v>
      </c>
      <c r="E757" s="25">
        <v>150000</v>
      </c>
      <c r="F757" s="25">
        <v>0</v>
      </c>
      <c r="G757" s="15" t="e">
        <f t="shared" si="42"/>
        <v>#DIV/0!</v>
      </c>
      <c r="H757" s="16">
        <f t="shared" si="43"/>
        <v>0</v>
      </c>
      <c r="I757" s="16">
        <f>F757/F770</f>
        <v>0</v>
      </c>
    </row>
    <row r="758" spans="1:9" ht="20.25" customHeight="1">
      <c r="A758" s="24">
        <v>66400</v>
      </c>
      <c r="B758" s="483" t="s">
        <v>84</v>
      </c>
      <c r="C758" s="484"/>
      <c r="D758" s="25">
        <v>0</v>
      </c>
      <c r="E758" s="25">
        <v>0</v>
      </c>
      <c r="F758" s="25">
        <v>17100</v>
      </c>
      <c r="G758" s="15" t="e">
        <f t="shared" si="42"/>
        <v>#DIV/0!</v>
      </c>
      <c r="H758" s="16" t="e">
        <f t="shared" si="43"/>
        <v>#DIV/0!</v>
      </c>
      <c r="I758" s="16">
        <f>F758/F770</f>
        <v>0.09025700444497273</v>
      </c>
    </row>
    <row r="759" spans="1:9" ht="20.25" customHeight="1">
      <c r="A759" s="35"/>
      <c r="B759" s="530" t="s">
        <v>85</v>
      </c>
      <c r="C759" s="531"/>
      <c r="D759" s="36">
        <f>D760+D761+D762</f>
        <v>0</v>
      </c>
      <c r="E759" s="36">
        <f>E760+E761+E762</f>
        <v>82578</v>
      </c>
      <c r="F759" s="85">
        <f>F760+F761+F762</f>
        <v>0</v>
      </c>
      <c r="G759" s="20" t="e">
        <f t="shared" si="42"/>
        <v>#DIV/0!</v>
      </c>
      <c r="H759" s="21">
        <f t="shared" si="43"/>
        <v>0</v>
      </c>
      <c r="I759" s="21">
        <f>F759/F770</f>
        <v>0</v>
      </c>
    </row>
    <row r="760" spans="1:9" ht="20.25" customHeight="1">
      <c r="A760" s="24">
        <v>73028</v>
      </c>
      <c r="B760" s="483" t="s">
        <v>86</v>
      </c>
      <c r="C760" s="484"/>
      <c r="D760" s="25">
        <v>0</v>
      </c>
      <c r="E760" s="25">
        <v>0</v>
      </c>
      <c r="F760" s="25">
        <v>0</v>
      </c>
      <c r="G760" s="15" t="e">
        <f t="shared" si="42"/>
        <v>#DIV/0!</v>
      </c>
      <c r="H760" s="16" t="e">
        <f t="shared" si="43"/>
        <v>#DIV/0!</v>
      </c>
      <c r="I760" s="16" t="e">
        <f>F760/F759</f>
        <v>#DIV/0!</v>
      </c>
    </row>
    <row r="761" spans="1:9" ht="20.25" customHeight="1">
      <c r="A761" s="24">
        <v>74100</v>
      </c>
      <c r="B761" s="483" t="s">
        <v>87</v>
      </c>
      <c r="C761" s="484"/>
      <c r="D761" s="25">
        <v>0</v>
      </c>
      <c r="E761" s="25">
        <v>67578</v>
      </c>
      <c r="F761" s="25">
        <v>0</v>
      </c>
      <c r="G761" s="15" t="e">
        <f t="shared" si="42"/>
        <v>#DIV/0!</v>
      </c>
      <c r="H761" s="16">
        <f t="shared" si="43"/>
        <v>0</v>
      </c>
      <c r="I761" s="16" t="e">
        <f>F761/F759</f>
        <v>#DIV/0!</v>
      </c>
    </row>
    <row r="762" spans="1:9" ht="20.25" customHeight="1">
      <c r="A762" s="24">
        <v>75590</v>
      </c>
      <c r="B762" s="483" t="s">
        <v>88</v>
      </c>
      <c r="C762" s="484"/>
      <c r="D762" s="25">
        <v>0</v>
      </c>
      <c r="E762" s="25">
        <v>15000</v>
      </c>
      <c r="F762" s="25">
        <v>0</v>
      </c>
      <c r="G762" s="15" t="e">
        <f t="shared" si="42"/>
        <v>#DIV/0!</v>
      </c>
      <c r="H762" s="16">
        <f t="shared" si="43"/>
        <v>0</v>
      </c>
      <c r="I762" s="16" t="e">
        <f>F762/F759</f>
        <v>#DIV/0!</v>
      </c>
    </row>
    <row r="763" spans="1:9" ht="20.25" customHeight="1">
      <c r="A763" s="24">
        <v>76095</v>
      </c>
      <c r="B763" s="483" t="s">
        <v>89</v>
      </c>
      <c r="C763" s="484"/>
      <c r="D763" s="25">
        <v>0</v>
      </c>
      <c r="E763" s="25">
        <v>0</v>
      </c>
      <c r="F763" s="25">
        <v>0</v>
      </c>
      <c r="G763" s="15" t="e">
        <f t="shared" si="42"/>
        <v>#DIV/0!</v>
      </c>
      <c r="H763" s="16" t="e">
        <f t="shared" si="43"/>
        <v>#DIV/0!</v>
      </c>
      <c r="I763" s="16">
        <f>E763/E759</f>
        <v>0</v>
      </c>
    </row>
    <row r="764" spans="1:9" ht="20.25" customHeight="1">
      <c r="A764" s="24">
        <v>85019</v>
      </c>
      <c r="B764" s="483" t="s">
        <v>90</v>
      </c>
      <c r="C764" s="484"/>
      <c r="D764" s="25">
        <v>0</v>
      </c>
      <c r="E764" s="25">
        <v>150000</v>
      </c>
      <c r="F764" s="25">
        <v>0</v>
      </c>
      <c r="G764" s="15" t="e">
        <f t="shared" si="42"/>
        <v>#DIV/0!</v>
      </c>
      <c r="H764" s="16">
        <f t="shared" si="43"/>
        <v>0</v>
      </c>
      <c r="I764" s="16">
        <f>F764/F770</f>
        <v>0</v>
      </c>
    </row>
    <row r="765" spans="1:9" ht="20.25" customHeight="1">
      <c r="A765" s="35"/>
      <c r="B765" s="499" t="s">
        <v>91</v>
      </c>
      <c r="C765" s="500"/>
      <c r="D765" s="36">
        <f>D766+D767+D768+D769</f>
        <v>0</v>
      </c>
      <c r="E765" s="36">
        <f>E766+E767+E768+E769</f>
        <v>250000</v>
      </c>
      <c r="F765" s="36">
        <f>F766+F767+F768+F769</f>
        <v>0</v>
      </c>
      <c r="G765" s="20" t="e">
        <f t="shared" si="42"/>
        <v>#DIV/0!</v>
      </c>
      <c r="H765" s="21">
        <f t="shared" si="43"/>
        <v>0</v>
      </c>
      <c r="I765" s="21">
        <f>F765/F770</f>
        <v>0</v>
      </c>
    </row>
    <row r="766" spans="1:9" ht="20.25" customHeight="1">
      <c r="A766" s="24">
        <v>92095</v>
      </c>
      <c r="B766" s="483" t="s">
        <v>86</v>
      </c>
      <c r="C766" s="484"/>
      <c r="D766" s="86">
        <v>0</v>
      </c>
      <c r="E766" s="25">
        <v>140000</v>
      </c>
      <c r="F766" s="25">
        <v>0</v>
      </c>
      <c r="G766" s="15" t="e">
        <f t="shared" si="42"/>
        <v>#DIV/0!</v>
      </c>
      <c r="H766" s="16">
        <f t="shared" si="43"/>
        <v>0</v>
      </c>
      <c r="I766" s="16" t="e">
        <f>F766/F765</f>
        <v>#DIV/0!</v>
      </c>
    </row>
    <row r="767" spans="1:9" ht="20.25" customHeight="1">
      <c r="A767" s="24">
        <v>92570</v>
      </c>
      <c r="B767" s="483" t="s">
        <v>92</v>
      </c>
      <c r="C767" s="484"/>
      <c r="D767" s="86">
        <v>0</v>
      </c>
      <c r="E767" s="25">
        <v>10000</v>
      </c>
      <c r="F767" s="25">
        <v>0</v>
      </c>
      <c r="G767" s="15" t="e">
        <f t="shared" si="42"/>
        <v>#DIV/0!</v>
      </c>
      <c r="H767" s="16">
        <f t="shared" si="43"/>
        <v>0</v>
      </c>
      <c r="I767" s="16" t="e">
        <f>F767/F765</f>
        <v>#DIV/0!</v>
      </c>
    </row>
    <row r="768" spans="1:9" ht="20.25" customHeight="1">
      <c r="A768" s="24">
        <v>93540</v>
      </c>
      <c r="B768" s="483" t="s">
        <v>93</v>
      </c>
      <c r="C768" s="484"/>
      <c r="D768" s="86">
        <v>0</v>
      </c>
      <c r="E768" s="25">
        <v>50000</v>
      </c>
      <c r="F768" s="25">
        <v>0</v>
      </c>
      <c r="G768" s="15" t="e">
        <f t="shared" si="42"/>
        <v>#DIV/0!</v>
      </c>
      <c r="H768" s="16">
        <f t="shared" si="43"/>
        <v>0</v>
      </c>
      <c r="I768" s="16" t="e">
        <f>F768/F765</f>
        <v>#DIV/0!</v>
      </c>
    </row>
    <row r="769" spans="1:9" ht="20.25" customHeight="1">
      <c r="A769" s="24">
        <v>94740</v>
      </c>
      <c r="B769" s="483" t="s">
        <v>554</v>
      </c>
      <c r="C769" s="484"/>
      <c r="D769" s="86">
        <v>0</v>
      </c>
      <c r="E769" s="25">
        <v>50000</v>
      </c>
      <c r="F769" s="25">
        <v>0</v>
      </c>
      <c r="G769" s="15" t="e">
        <f t="shared" si="42"/>
        <v>#DIV/0!</v>
      </c>
      <c r="H769" s="16">
        <f t="shared" si="43"/>
        <v>0</v>
      </c>
      <c r="I769" s="16" t="e">
        <f>F769/F765</f>
        <v>#DIV/0!</v>
      </c>
    </row>
    <row r="770" spans="1:9" ht="30" customHeight="1">
      <c r="A770" s="35"/>
      <c r="B770" s="530" t="s">
        <v>95</v>
      </c>
      <c r="C770" s="531"/>
      <c r="D770" s="36">
        <f>D745+D746+D747+D748+D749+D750+D751+D753+D754+D755+D756+D757+D758+D759+D764+D765</f>
        <v>15340</v>
      </c>
      <c r="E770" s="36">
        <f>E744+E745+E746+E747+E748+E749+E750+E751+E753+E754+E755+E756+E757+E758+E759+E764+E765</f>
        <v>5161670</v>
      </c>
      <c r="F770" s="36">
        <f>F744+F745+F746+F747+F748+F749+F750+F751+F753+F754+F755+F756+F757+F758+F759+F763+F764+F765</f>
        <v>189458.98</v>
      </c>
      <c r="G770" s="101">
        <f t="shared" si="42"/>
        <v>12.350650586701434</v>
      </c>
      <c r="H770" s="21">
        <f t="shared" si="43"/>
        <v>0.03670497726510994</v>
      </c>
      <c r="I770" s="21">
        <f>SUM(I744+I745+I746+I747+I748+I749+I750+I751+I753+I754+I755+I756+I758+I759+I764+I765)</f>
        <v>0.9999999999999999</v>
      </c>
    </row>
    <row r="771" spans="1:9" ht="20.25" customHeight="1">
      <c r="A771" s="87"/>
      <c r="B771" s="88"/>
      <c r="C771" s="89"/>
      <c r="D771" s="89"/>
      <c r="E771" s="89"/>
      <c r="F771" s="102"/>
      <c r="G771" s="92"/>
      <c r="H771" s="92"/>
      <c r="I771" s="135"/>
    </row>
    <row r="772" spans="1:9" ht="20.25" customHeight="1">
      <c r="A772" s="503" t="s">
        <v>320</v>
      </c>
      <c r="B772" s="503"/>
      <c r="C772" s="503"/>
      <c r="D772" s="503"/>
      <c r="E772" s="503"/>
      <c r="F772" s="503"/>
      <c r="G772" s="503"/>
      <c r="H772" s="503"/>
      <c r="I772" s="503"/>
    </row>
    <row r="773" spans="1:9" ht="20.25" customHeight="1">
      <c r="A773" s="503" t="s">
        <v>321</v>
      </c>
      <c r="B773" s="503"/>
      <c r="C773" s="503"/>
      <c r="D773" s="503"/>
      <c r="E773" s="503"/>
      <c r="F773" s="503"/>
      <c r="G773" s="503"/>
      <c r="H773" s="503"/>
      <c r="I773" s="503"/>
    </row>
    <row r="774" spans="1:9" ht="20.25" customHeight="1">
      <c r="A774" s="1"/>
      <c r="B774" s="40" t="s">
        <v>114</v>
      </c>
      <c r="C774" s="103" t="s">
        <v>115</v>
      </c>
      <c r="D774" s="40"/>
      <c r="E774" s="2"/>
      <c r="F774" s="104"/>
      <c r="G774" s="105"/>
      <c r="H774" s="106"/>
      <c r="I774" s="135"/>
    </row>
    <row r="775" spans="1:9" ht="20.25" customHeight="1">
      <c r="A775" s="1"/>
      <c r="B775" s="2" t="s">
        <v>116</v>
      </c>
      <c r="C775" s="103" t="s">
        <v>122</v>
      </c>
      <c r="D775" s="40"/>
      <c r="E775" s="2"/>
      <c r="F775" s="104"/>
      <c r="G775" s="105"/>
      <c r="H775" s="2"/>
      <c r="I775" s="135"/>
    </row>
    <row r="776" spans="1:9" ht="20.25" customHeight="1">
      <c r="A776" s="1"/>
      <c r="B776" s="2" t="s">
        <v>123</v>
      </c>
      <c r="C776" s="103" t="s">
        <v>124</v>
      </c>
      <c r="D776" s="40" t="s">
        <v>125</v>
      </c>
      <c r="E776" s="2"/>
      <c r="F776" s="104"/>
      <c r="G776" s="105"/>
      <c r="H776" s="2"/>
      <c r="I776" s="135"/>
    </row>
    <row r="777" spans="1:9" ht="20.25" customHeight="1">
      <c r="A777" s="1"/>
      <c r="B777" s="2" t="s">
        <v>126</v>
      </c>
      <c r="C777" s="103" t="s">
        <v>127</v>
      </c>
      <c r="D777" s="40"/>
      <c r="E777" s="2"/>
      <c r="F777" s="104"/>
      <c r="G777" s="105"/>
      <c r="H777" s="2"/>
      <c r="I777" s="135"/>
    </row>
    <row r="778" spans="1:9" ht="20.25" customHeight="1">
      <c r="A778" s="40"/>
      <c r="B778" s="107"/>
      <c r="C778" s="40"/>
      <c r="D778" s="218" t="s">
        <v>682</v>
      </c>
      <c r="E778" s="40"/>
      <c r="F778" s="40"/>
      <c r="G778" s="40"/>
      <c r="H778" s="2"/>
      <c r="I778" s="135"/>
    </row>
    <row r="779" spans="1:9" ht="17.25" customHeight="1">
      <c r="A779" s="40"/>
      <c r="B779" s="40"/>
      <c r="C779" s="40"/>
      <c r="D779" s="40"/>
      <c r="E779" s="40"/>
      <c r="F779" s="40"/>
      <c r="G779" s="40"/>
      <c r="H779" s="2"/>
      <c r="I779" s="135"/>
    </row>
    <row r="780" spans="1:9" ht="20.25" customHeight="1">
      <c r="A780" s="22" t="s">
        <v>683</v>
      </c>
      <c r="B780" s="491" t="s">
        <v>688</v>
      </c>
      <c r="C780" s="492"/>
      <c r="D780" s="5" t="s">
        <v>686</v>
      </c>
      <c r="E780" s="5" t="s">
        <v>712</v>
      </c>
      <c r="F780" s="5" t="s">
        <v>686</v>
      </c>
      <c r="G780" s="510" t="s">
        <v>713</v>
      </c>
      <c r="H780" s="511"/>
      <c r="I780" s="6" t="s">
        <v>714</v>
      </c>
    </row>
    <row r="781" spans="1:9" ht="20.25" customHeight="1">
      <c r="A781" s="23" t="s">
        <v>97</v>
      </c>
      <c r="B781" s="493"/>
      <c r="C781" s="494"/>
      <c r="D781" s="7" t="s">
        <v>708</v>
      </c>
      <c r="E781" s="7" t="s">
        <v>715</v>
      </c>
      <c r="F781" s="7" t="s">
        <v>716</v>
      </c>
      <c r="G781" s="8" t="s">
        <v>706</v>
      </c>
      <c r="H781" s="9" t="s">
        <v>707</v>
      </c>
      <c r="I781" s="10" t="s">
        <v>717</v>
      </c>
    </row>
    <row r="782" spans="1:9" ht="20.25" customHeight="1">
      <c r="A782" s="220">
        <v>1</v>
      </c>
      <c r="B782" s="550">
        <v>2</v>
      </c>
      <c r="C782" s="551"/>
      <c r="D782" s="221">
        <v>3</v>
      </c>
      <c r="E782" s="221">
        <v>4</v>
      </c>
      <c r="F782" s="221">
        <v>5</v>
      </c>
      <c r="G782" s="221">
        <v>6</v>
      </c>
      <c r="H782" s="221">
        <v>7</v>
      </c>
      <c r="I782" s="220">
        <v>8</v>
      </c>
    </row>
    <row r="783" spans="1:9" ht="20.25" customHeight="1">
      <c r="A783" s="13">
        <v>3110</v>
      </c>
      <c r="B783" s="499" t="s">
        <v>128</v>
      </c>
      <c r="C783" s="500"/>
      <c r="D783" s="30">
        <f>D784+D785+D786+D787+D788+D789+D790</f>
        <v>0</v>
      </c>
      <c r="E783" s="108">
        <f>E784+E785+E786+E787+E788+E789+E790</f>
        <v>712578</v>
      </c>
      <c r="F783" s="30">
        <f>F784+F785+F786+F787+F788+F789+F790</f>
        <v>75548.1</v>
      </c>
      <c r="G783" s="109" t="e">
        <f aca="true" t="shared" si="44" ref="G783:G813">F783/D783</f>
        <v>#DIV/0!</v>
      </c>
      <c r="H783" s="33">
        <f aca="true" t="shared" si="45" ref="H783:H813">F783/E783</f>
        <v>0.10602081456345833</v>
      </c>
      <c r="I783" s="33">
        <f>F783/F813</f>
        <v>0.3987570290941079</v>
      </c>
    </row>
    <row r="784" spans="1:9" ht="20.25" customHeight="1">
      <c r="A784" s="4">
        <v>31110</v>
      </c>
      <c r="B784" s="497" t="s">
        <v>129</v>
      </c>
      <c r="C784" s="498"/>
      <c r="D784" s="25">
        <v>0</v>
      </c>
      <c r="E784" s="25">
        <v>0</v>
      </c>
      <c r="F784" s="25">
        <v>0</v>
      </c>
      <c r="G784" s="15" t="e">
        <f t="shared" si="44"/>
        <v>#DIV/0!</v>
      </c>
      <c r="H784" s="16" t="e">
        <f t="shared" si="45"/>
        <v>#DIV/0!</v>
      </c>
      <c r="I784" s="16">
        <f>F784/F783</f>
        <v>0</v>
      </c>
    </row>
    <row r="785" spans="1:9" ht="20.25" customHeight="1">
      <c r="A785" s="4">
        <v>31120</v>
      </c>
      <c r="B785" s="483" t="s">
        <v>130</v>
      </c>
      <c r="C785" s="484"/>
      <c r="D785" s="25">
        <v>0</v>
      </c>
      <c r="E785" s="25">
        <f>45000+472578</f>
        <v>517578</v>
      </c>
      <c r="F785" s="25">
        <v>75548.1</v>
      </c>
      <c r="G785" s="15" t="e">
        <f t="shared" si="44"/>
        <v>#DIV/0!</v>
      </c>
      <c r="H785" s="16">
        <f t="shared" si="45"/>
        <v>0.14596466619524015</v>
      </c>
      <c r="I785" s="16">
        <f>F785/F783</f>
        <v>1</v>
      </c>
    </row>
    <row r="786" spans="1:9" ht="20.25" customHeight="1">
      <c r="A786" s="4">
        <v>31121</v>
      </c>
      <c r="B786" s="497" t="s">
        <v>883</v>
      </c>
      <c r="C786" s="498"/>
      <c r="D786" s="25">
        <v>0</v>
      </c>
      <c r="E786" s="25">
        <v>0</v>
      </c>
      <c r="F786" s="25">
        <v>0</v>
      </c>
      <c r="G786" s="15" t="e">
        <f t="shared" si="44"/>
        <v>#DIV/0!</v>
      </c>
      <c r="H786" s="16" t="e">
        <f t="shared" si="45"/>
        <v>#DIV/0!</v>
      </c>
      <c r="I786" s="16">
        <f>F786/F783</f>
        <v>0</v>
      </c>
    </row>
    <row r="787" spans="1:9" ht="20.25" customHeight="1">
      <c r="A787" s="4">
        <v>31122</v>
      </c>
      <c r="B787" s="483" t="s">
        <v>884</v>
      </c>
      <c r="C787" s="484"/>
      <c r="D787" s="25">
        <v>0</v>
      </c>
      <c r="E787" s="25">
        <v>0</v>
      </c>
      <c r="F787" s="25">
        <v>0</v>
      </c>
      <c r="G787" s="15" t="e">
        <f t="shared" si="44"/>
        <v>#DIV/0!</v>
      </c>
      <c r="H787" s="16" t="e">
        <f t="shared" si="45"/>
        <v>#DIV/0!</v>
      </c>
      <c r="I787" s="16">
        <f>F787/F783</f>
        <v>0</v>
      </c>
    </row>
    <row r="788" spans="1:9" ht="20.25" customHeight="1">
      <c r="A788" s="4">
        <v>31123</v>
      </c>
      <c r="B788" s="497" t="s">
        <v>885</v>
      </c>
      <c r="C788" s="498"/>
      <c r="D788" s="25">
        <v>0</v>
      </c>
      <c r="E788" s="25">
        <v>0</v>
      </c>
      <c r="F788" s="25">
        <v>0</v>
      </c>
      <c r="G788" s="15" t="e">
        <f t="shared" si="44"/>
        <v>#DIV/0!</v>
      </c>
      <c r="H788" s="16" t="e">
        <f t="shared" si="45"/>
        <v>#DIV/0!</v>
      </c>
      <c r="I788" s="16">
        <f>F788/F783</f>
        <v>0</v>
      </c>
    </row>
    <row r="789" spans="1:9" ht="20.25" customHeight="1">
      <c r="A789" s="4">
        <v>31124</v>
      </c>
      <c r="B789" s="483" t="s">
        <v>886</v>
      </c>
      <c r="C789" s="484"/>
      <c r="D789" s="25">
        <v>0</v>
      </c>
      <c r="E789" s="25">
        <v>0</v>
      </c>
      <c r="F789" s="25">
        <v>0</v>
      </c>
      <c r="G789" s="15" t="e">
        <f t="shared" si="44"/>
        <v>#DIV/0!</v>
      </c>
      <c r="H789" s="16" t="e">
        <f t="shared" si="45"/>
        <v>#DIV/0!</v>
      </c>
      <c r="I789" s="16">
        <f>F789/F783</f>
        <v>0</v>
      </c>
    </row>
    <row r="790" spans="1:9" ht="20.25" customHeight="1">
      <c r="A790" s="4">
        <v>31130</v>
      </c>
      <c r="B790" s="497" t="s">
        <v>887</v>
      </c>
      <c r="C790" s="498"/>
      <c r="D790" s="25">
        <v>0</v>
      </c>
      <c r="E790" s="25">
        <v>195000</v>
      </c>
      <c r="F790" s="25">
        <v>0</v>
      </c>
      <c r="G790" s="15" t="e">
        <f t="shared" si="44"/>
        <v>#DIV/0!</v>
      </c>
      <c r="H790" s="16">
        <f t="shared" si="45"/>
        <v>0</v>
      </c>
      <c r="I790" s="16">
        <f>F790/F783</f>
        <v>0</v>
      </c>
    </row>
    <row r="791" spans="1:9" ht="20.25" customHeight="1">
      <c r="A791" s="11">
        <v>3120</v>
      </c>
      <c r="B791" s="499" t="s">
        <v>888</v>
      </c>
      <c r="C791" s="500"/>
      <c r="D791" s="30">
        <f>D792+D793+D794+D795</f>
        <v>0</v>
      </c>
      <c r="E791" s="30">
        <f>E792+E793+E794+E795</f>
        <v>3419269</v>
      </c>
      <c r="F791" s="30">
        <f>F792+F793+F794+F795</f>
        <v>0</v>
      </c>
      <c r="G791" s="109" t="e">
        <f t="shared" si="44"/>
        <v>#DIV/0!</v>
      </c>
      <c r="H791" s="33">
        <f t="shared" si="45"/>
        <v>0</v>
      </c>
      <c r="I791" s="33">
        <f>F791/F813</f>
        <v>0</v>
      </c>
    </row>
    <row r="792" spans="1:9" ht="20.25" customHeight="1">
      <c r="A792" s="62">
        <v>31210</v>
      </c>
      <c r="B792" s="497" t="s">
        <v>889</v>
      </c>
      <c r="C792" s="498"/>
      <c r="D792" s="25">
        <v>0</v>
      </c>
      <c r="E792" s="25">
        <v>0</v>
      </c>
      <c r="F792" s="25">
        <v>0</v>
      </c>
      <c r="G792" s="15" t="e">
        <f t="shared" si="44"/>
        <v>#DIV/0!</v>
      </c>
      <c r="H792" s="16" t="e">
        <f t="shared" si="45"/>
        <v>#DIV/0!</v>
      </c>
      <c r="I792" s="16" t="e">
        <f>F792/F791</f>
        <v>#DIV/0!</v>
      </c>
    </row>
    <row r="793" spans="1:9" ht="20.25" customHeight="1">
      <c r="A793" s="4">
        <v>31230</v>
      </c>
      <c r="B793" s="483" t="s">
        <v>890</v>
      </c>
      <c r="C793" s="484"/>
      <c r="D793" s="25">
        <v>0</v>
      </c>
      <c r="E793" s="25">
        <f>604577+2699692</f>
        <v>3304269</v>
      </c>
      <c r="F793" s="25">
        <v>0</v>
      </c>
      <c r="G793" s="15" t="e">
        <f t="shared" si="44"/>
        <v>#DIV/0!</v>
      </c>
      <c r="H793" s="16">
        <f t="shared" si="45"/>
        <v>0</v>
      </c>
      <c r="I793" s="16" t="e">
        <f>F793/F791</f>
        <v>#DIV/0!</v>
      </c>
    </row>
    <row r="794" spans="1:9" ht="20.25" customHeight="1">
      <c r="A794" s="4">
        <v>31250</v>
      </c>
      <c r="B794" s="497" t="s">
        <v>891</v>
      </c>
      <c r="C794" s="498"/>
      <c r="D794" s="25">
        <v>0</v>
      </c>
      <c r="E794" s="110">
        <v>115000</v>
      </c>
      <c r="F794" s="25">
        <v>0</v>
      </c>
      <c r="G794" s="15" t="e">
        <f t="shared" si="44"/>
        <v>#DIV/0!</v>
      </c>
      <c r="H794" s="16">
        <f t="shared" si="45"/>
        <v>0</v>
      </c>
      <c r="I794" s="16" t="e">
        <f>F794/F791</f>
        <v>#DIV/0!</v>
      </c>
    </row>
    <row r="795" spans="1:9" ht="20.25" customHeight="1">
      <c r="A795" s="4">
        <v>31260</v>
      </c>
      <c r="B795" s="483" t="s">
        <v>892</v>
      </c>
      <c r="C795" s="484"/>
      <c r="D795" s="25">
        <v>0</v>
      </c>
      <c r="E795" s="25">
        <v>0</v>
      </c>
      <c r="F795" s="25">
        <v>0</v>
      </c>
      <c r="G795" s="15" t="e">
        <f t="shared" si="44"/>
        <v>#DIV/0!</v>
      </c>
      <c r="H795" s="16" t="e">
        <f t="shared" si="45"/>
        <v>#DIV/0!</v>
      </c>
      <c r="I795" s="16" t="e">
        <f>F795/F791</f>
        <v>#DIV/0!</v>
      </c>
    </row>
    <row r="796" spans="1:9" ht="20.25" customHeight="1">
      <c r="A796" s="11">
        <v>3150</v>
      </c>
      <c r="B796" s="564" t="s">
        <v>893</v>
      </c>
      <c r="C796" s="565"/>
      <c r="D796" s="25">
        <f>D797</f>
        <v>0</v>
      </c>
      <c r="E796" s="25">
        <f>E797</f>
        <v>0</v>
      </c>
      <c r="F796" s="25">
        <f>F797</f>
        <v>0</v>
      </c>
      <c r="G796" s="15" t="e">
        <f t="shared" si="44"/>
        <v>#DIV/0!</v>
      </c>
      <c r="H796" s="16" t="e">
        <f t="shared" si="45"/>
        <v>#DIV/0!</v>
      </c>
      <c r="I796" s="16">
        <f>F796/F813</f>
        <v>0</v>
      </c>
    </row>
    <row r="797" spans="1:9" ht="20.25" customHeight="1">
      <c r="A797" s="4">
        <v>31510</v>
      </c>
      <c r="B797" s="566" t="s">
        <v>894</v>
      </c>
      <c r="C797" s="567"/>
      <c r="D797" s="25">
        <v>0</v>
      </c>
      <c r="E797" s="25">
        <v>0</v>
      </c>
      <c r="F797" s="25">
        <v>0</v>
      </c>
      <c r="G797" s="15" t="e">
        <f t="shared" si="44"/>
        <v>#DIV/0!</v>
      </c>
      <c r="H797" s="16" t="e">
        <f t="shared" si="45"/>
        <v>#DIV/0!</v>
      </c>
      <c r="I797" s="16" t="e">
        <f>F797/F796</f>
        <v>#DIV/0!</v>
      </c>
    </row>
    <row r="798" spans="1:9" ht="20.25" customHeight="1">
      <c r="A798" s="11">
        <v>3160</v>
      </c>
      <c r="B798" s="568" t="s">
        <v>895</v>
      </c>
      <c r="C798" s="569"/>
      <c r="D798" s="30">
        <f>D799+D800+D801+D802</f>
        <v>0</v>
      </c>
      <c r="E798" s="30">
        <f>E799+E800+E801+E802</f>
        <v>10000</v>
      </c>
      <c r="F798" s="30">
        <f>F799+F800+F801+F802</f>
        <v>0</v>
      </c>
      <c r="G798" s="109" t="e">
        <f t="shared" si="44"/>
        <v>#DIV/0!</v>
      </c>
      <c r="H798" s="33">
        <f t="shared" si="45"/>
        <v>0</v>
      </c>
      <c r="I798" s="33">
        <f>F798/F813</f>
        <v>0</v>
      </c>
    </row>
    <row r="799" spans="1:9" ht="20.25" customHeight="1">
      <c r="A799" s="4">
        <v>31600</v>
      </c>
      <c r="B799" s="483" t="s">
        <v>896</v>
      </c>
      <c r="C799" s="484"/>
      <c r="D799" s="25">
        <v>0</v>
      </c>
      <c r="E799" s="25">
        <v>0</v>
      </c>
      <c r="F799" s="25">
        <v>0</v>
      </c>
      <c r="G799" s="15" t="e">
        <f t="shared" si="44"/>
        <v>#DIV/0!</v>
      </c>
      <c r="H799" s="16" t="e">
        <f t="shared" si="45"/>
        <v>#DIV/0!</v>
      </c>
      <c r="I799" s="16" t="e">
        <f>F799/F798</f>
        <v>#DIV/0!</v>
      </c>
    </row>
    <row r="800" spans="1:9" ht="20.25" customHeight="1">
      <c r="A800" s="4">
        <v>31660</v>
      </c>
      <c r="B800" s="497" t="s">
        <v>897</v>
      </c>
      <c r="C800" s="498"/>
      <c r="D800" s="25">
        <v>0</v>
      </c>
      <c r="E800" s="25">
        <v>0</v>
      </c>
      <c r="F800" s="25">
        <v>0</v>
      </c>
      <c r="G800" s="15" t="e">
        <f t="shared" si="44"/>
        <v>#DIV/0!</v>
      </c>
      <c r="H800" s="16" t="e">
        <f t="shared" si="45"/>
        <v>#DIV/0!</v>
      </c>
      <c r="I800" s="16" t="e">
        <f>F800/F798</f>
        <v>#DIV/0!</v>
      </c>
    </row>
    <row r="801" spans="1:9" ht="20.25" customHeight="1">
      <c r="A801" s="4">
        <v>31680</v>
      </c>
      <c r="B801" s="483" t="s">
        <v>496</v>
      </c>
      <c r="C801" s="484"/>
      <c r="D801" s="25">
        <v>0</v>
      </c>
      <c r="E801" s="25">
        <v>0</v>
      </c>
      <c r="F801" s="25">
        <v>0</v>
      </c>
      <c r="G801" s="15" t="e">
        <f t="shared" si="44"/>
        <v>#DIV/0!</v>
      </c>
      <c r="H801" s="16" t="e">
        <f t="shared" si="45"/>
        <v>#DIV/0!</v>
      </c>
      <c r="I801" s="16" t="e">
        <f>F801/F798</f>
        <v>#DIV/0!</v>
      </c>
    </row>
    <row r="802" spans="1:9" ht="20.25" customHeight="1">
      <c r="A802" s="4">
        <v>31690</v>
      </c>
      <c r="B802" s="497" t="s">
        <v>497</v>
      </c>
      <c r="C802" s="498"/>
      <c r="D802" s="25">
        <v>0</v>
      </c>
      <c r="E802" s="25">
        <v>10000</v>
      </c>
      <c r="F802" s="25">
        <v>0</v>
      </c>
      <c r="G802" s="15" t="e">
        <f t="shared" si="44"/>
        <v>#DIV/0!</v>
      </c>
      <c r="H802" s="16">
        <f t="shared" si="45"/>
        <v>0</v>
      </c>
      <c r="I802" s="16" t="e">
        <f>F802/F798</f>
        <v>#DIV/0!</v>
      </c>
    </row>
    <row r="803" spans="1:9" ht="20.25" customHeight="1">
      <c r="A803" s="11">
        <v>3170</v>
      </c>
      <c r="B803" s="499" t="s">
        <v>498</v>
      </c>
      <c r="C803" s="500"/>
      <c r="D803" s="30">
        <f>D804</f>
        <v>0</v>
      </c>
      <c r="E803" s="30">
        <f>E804</f>
        <v>65000</v>
      </c>
      <c r="F803" s="30">
        <f>F804</f>
        <v>0</v>
      </c>
      <c r="G803" s="109" t="e">
        <f t="shared" si="44"/>
        <v>#DIV/0!</v>
      </c>
      <c r="H803" s="33">
        <f t="shared" si="45"/>
        <v>0</v>
      </c>
      <c r="I803" s="33">
        <f>F803/F813</f>
        <v>0</v>
      </c>
    </row>
    <row r="804" spans="1:9" ht="20.25" customHeight="1">
      <c r="A804" s="4">
        <v>31700</v>
      </c>
      <c r="B804" s="497" t="s">
        <v>499</v>
      </c>
      <c r="C804" s="498"/>
      <c r="D804" s="25">
        <v>0</v>
      </c>
      <c r="E804" s="25">
        <f>50000+15000</f>
        <v>65000</v>
      </c>
      <c r="F804" s="25">
        <v>0</v>
      </c>
      <c r="G804" s="15" t="e">
        <f t="shared" si="44"/>
        <v>#DIV/0!</v>
      </c>
      <c r="H804" s="16">
        <f t="shared" si="45"/>
        <v>0</v>
      </c>
      <c r="I804" s="16" t="e">
        <f>F804/F803</f>
        <v>#DIV/0!</v>
      </c>
    </row>
    <row r="805" spans="1:9" ht="20.25" customHeight="1">
      <c r="A805" s="11">
        <v>3190</v>
      </c>
      <c r="B805" s="499" t="s">
        <v>500</v>
      </c>
      <c r="C805" s="500"/>
      <c r="D805" s="30">
        <f>D806</f>
        <v>0</v>
      </c>
      <c r="E805" s="30">
        <f>E806</f>
        <v>708000</v>
      </c>
      <c r="F805" s="30">
        <f>F806</f>
        <v>113910.88</v>
      </c>
      <c r="G805" s="109" t="e">
        <f t="shared" si="44"/>
        <v>#DIV/0!</v>
      </c>
      <c r="H805" s="33">
        <f t="shared" si="45"/>
        <v>0.1608910734463277</v>
      </c>
      <c r="I805" s="33">
        <f>F805/F813</f>
        <v>0.6012429709058922</v>
      </c>
    </row>
    <row r="806" spans="1:9" ht="20.25" customHeight="1">
      <c r="A806" s="62">
        <v>31900</v>
      </c>
      <c r="B806" s="231" t="s">
        <v>500</v>
      </c>
      <c r="C806" s="232"/>
      <c r="D806" s="25">
        <v>0</v>
      </c>
      <c r="E806" s="25">
        <f>250000+458000</f>
        <v>708000</v>
      </c>
      <c r="F806" s="25">
        <v>113910.88</v>
      </c>
      <c r="G806" s="15" t="e">
        <f t="shared" si="44"/>
        <v>#DIV/0!</v>
      </c>
      <c r="H806" s="16">
        <f t="shared" si="45"/>
        <v>0.1608910734463277</v>
      </c>
      <c r="I806" s="16">
        <f>F806/F805</f>
        <v>1</v>
      </c>
    </row>
    <row r="807" spans="1:9" ht="20.25" customHeight="1">
      <c r="A807" s="11">
        <v>3210</v>
      </c>
      <c r="B807" s="499" t="s">
        <v>501</v>
      </c>
      <c r="C807" s="500"/>
      <c r="D807" s="30">
        <f>D808</f>
        <v>0</v>
      </c>
      <c r="E807" s="30">
        <f>E808</f>
        <v>0</v>
      </c>
      <c r="F807" s="30">
        <f>F808</f>
        <v>0</v>
      </c>
      <c r="G807" s="109" t="e">
        <f t="shared" si="44"/>
        <v>#DIV/0!</v>
      </c>
      <c r="H807" s="33" t="e">
        <f t="shared" si="45"/>
        <v>#DIV/0!</v>
      </c>
      <c r="I807" s="33">
        <f>F807/F813</f>
        <v>0</v>
      </c>
    </row>
    <row r="808" spans="1:9" ht="20.25" customHeight="1">
      <c r="A808" s="4">
        <v>32100</v>
      </c>
      <c r="B808" s="497" t="s">
        <v>501</v>
      </c>
      <c r="C808" s="498"/>
      <c r="D808" s="25">
        <v>0</v>
      </c>
      <c r="E808" s="25">
        <v>0</v>
      </c>
      <c r="F808" s="25">
        <v>0</v>
      </c>
      <c r="G808" s="15" t="e">
        <f t="shared" si="44"/>
        <v>#DIV/0!</v>
      </c>
      <c r="H808" s="16" t="e">
        <f t="shared" si="45"/>
        <v>#DIV/0!</v>
      </c>
      <c r="I808" s="16" t="e">
        <f>F808/F807</f>
        <v>#DIV/0!</v>
      </c>
    </row>
    <row r="809" spans="1:9" ht="20.25" customHeight="1">
      <c r="A809" s="11">
        <v>3320</v>
      </c>
      <c r="B809" s="499" t="s">
        <v>502</v>
      </c>
      <c r="C809" s="500"/>
      <c r="D809" s="30">
        <f>D810</f>
        <v>15340</v>
      </c>
      <c r="E809" s="30">
        <f>E810</f>
        <v>246823</v>
      </c>
      <c r="F809" s="30">
        <f>F810</f>
        <v>0</v>
      </c>
      <c r="G809" s="109">
        <f t="shared" si="44"/>
        <v>0</v>
      </c>
      <c r="H809" s="33">
        <f t="shared" si="45"/>
        <v>0</v>
      </c>
      <c r="I809" s="33">
        <f>F809/F813</f>
        <v>0</v>
      </c>
    </row>
    <row r="810" spans="1:9" ht="20.25" customHeight="1">
      <c r="A810" s="4">
        <v>33200</v>
      </c>
      <c r="B810" s="497" t="s">
        <v>503</v>
      </c>
      <c r="C810" s="498"/>
      <c r="D810" s="25">
        <v>15340</v>
      </c>
      <c r="E810" s="25">
        <v>246823</v>
      </c>
      <c r="F810" s="25">
        <v>0</v>
      </c>
      <c r="G810" s="15">
        <f t="shared" si="44"/>
        <v>0</v>
      </c>
      <c r="H810" s="16">
        <f t="shared" si="45"/>
        <v>0</v>
      </c>
      <c r="I810" s="16" t="e">
        <f>F810/F809</f>
        <v>#DIV/0!</v>
      </c>
    </row>
    <row r="811" spans="1:9" ht="20.25" customHeight="1">
      <c r="A811" s="11">
        <v>3400</v>
      </c>
      <c r="B811" s="499" t="s">
        <v>504</v>
      </c>
      <c r="C811" s="500"/>
      <c r="D811" s="30">
        <f>D812</f>
        <v>0</v>
      </c>
      <c r="E811" s="30">
        <f>E812</f>
        <v>0</v>
      </c>
      <c r="F811" s="30">
        <f>F812</f>
        <v>0</v>
      </c>
      <c r="G811" s="109" t="e">
        <f t="shared" si="44"/>
        <v>#DIV/0!</v>
      </c>
      <c r="H811" s="33" t="e">
        <f t="shared" si="45"/>
        <v>#DIV/0!</v>
      </c>
      <c r="I811" s="33">
        <f>F811/F813</f>
        <v>0</v>
      </c>
    </row>
    <row r="812" spans="1:9" ht="20.25" customHeight="1">
      <c r="A812" s="4">
        <v>34000</v>
      </c>
      <c r="B812" s="497" t="s">
        <v>504</v>
      </c>
      <c r="C812" s="498"/>
      <c r="D812" s="25">
        <v>0</v>
      </c>
      <c r="E812" s="25">
        <v>0</v>
      </c>
      <c r="F812" s="25">
        <v>0</v>
      </c>
      <c r="G812" s="15" t="e">
        <f t="shared" si="44"/>
        <v>#DIV/0!</v>
      </c>
      <c r="H812" s="16" t="e">
        <f t="shared" si="45"/>
        <v>#DIV/0!</v>
      </c>
      <c r="I812" s="16" t="e">
        <f>F812/F811</f>
        <v>#DIV/0!</v>
      </c>
    </row>
    <row r="813" spans="1:9" ht="27" customHeight="1">
      <c r="A813" s="11"/>
      <c r="B813" s="530" t="s">
        <v>95</v>
      </c>
      <c r="C813" s="531"/>
      <c r="D813" s="36">
        <f>D783+D791+D796+D798+D803+D805+D807+D809+D811</f>
        <v>15340</v>
      </c>
      <c r="E813" s="36">
        <f>E783+E791+E796+E798+E803+E805+E807+E809+E811</f>
        <v>5161670</v>
      </c>
      <c r="F813" s="36">
        <f>F783+F791+F796+F798+F803+F805+F807+F809+F811</f>
        <v>189458.98</v>
      </c>
      <c r="G813" s="98">
        <f t="shared" si="44"/>
        <v>12.350650586701434</v>
      </c>
      <c r="H813" s="38">
        <f t="shared" si="45"/>
        <v>0.03670497726510994</v>
      </c>
      <c r="I813" s="21">
        <f>I783+I791+I796+I798+I803+I805+I807+I809+I811</f>
        <v>1</v>
      </c>
    </row>
    <row r="814" spans="1:9" ht="20.25" customHeight="1">
      <c r="A814" s="40"/>
      <c r="B814" s="40"/>
      <c r="C814" s="40"/>
      <c r="D814" s="40"/>
      <c r="E814" s="40"/>
      <c r="F814" s="40"/>
      <c r="G814" s="40"/>
      <c r="H814" s="40"/>
      <c r="I814" s="219">
        <v>12</v>
      </c>
    </row>
    <row r="815" spans="1:9" ht="20.25" customHeight="1">
      <c r="A815" s="40"/>
      <c r="B815" s="40"/>
      <c r="C815" s="40"/>
      <c r="D815" s="40"/>
      <c r="E815" s="40"/>
      <c r="F815" s="40"/>
      <c r="G815" s="40"/>
      <c r="H815" s="40"/>
      <c r="I815" s="219"/>
    </row>
    <row r="816" spans="1:9" ht="20.25" customHeight="1">
      <c r="A816" s="39"/>
      <c r="B816" s="486" t="s">
        <v>98</v>
      </c>
      <c r="C816" s="486"/>
      <c r="D816" s="486"/>
      <c r="E816" s="486"/>
      <c r="F816" s="486"/>
      <c r="G816" s="486"/>
      <c r="H816" s="486"/>
      <c r="I816" s="486"/>
    </row>
    <row r="817" spans="1:9" ht="20.25" customHeight="1">
      <c r="A817" s="486" t="s">
        <v>99</v>
      </c>
      <c r="B817" s="486"/>
      <c r="C817" s="486"/>
      <c r="D817" s="486"/>
      <c r="E817" s="486"/>
      <c r="F817" s="486"/>
      <c r="G817" s="486"/>
      <c r="H817" s="486"/>
      <c r="I817" s="486"/>
    </row>
    <row r="818" spans="1:9" ht="20.25" customHeight="1">
      <c r="A818" s="39"/>
      <c r="B818" s="39"/>
      <c r="C818" s="39"/>
      <c r="D818" s="39"/>
      <c r="E818" s="39"/>
      <c r="F818" s="39"/>
      <c r="G818" s="39"/>
      <c r="H818" s="39"/>
      <c r="I818" s="135"/>
    </row>
    <row r="819" spans="1:9" ht="20.25" customHeight="1">
      <c r="A819" s="39"/>
      <c r="B819" s="39"/>
      <c r="C819" s="39"/>
      <c r="E819" s="487" t="s">
        <v>682</v>
      </c>
      <c r="F819" s="487"/>
      <c r="G819" s="39"/>
      <c r="H819" s="39"/>
      <c r="I819" s="135"/>
    </row>
    <row r="820" spans="1:9" ht="20.25" customHeight="1" thickBot="1">
      <c r="A820" s="41"/>
      <c r="B820" s="41"/>
      <c r="C820" s="41"/>
      <c r="D820" s="41"/>
      <c r="E820" s="41"/>
      <c r="F820" s="41"/>
      <c r="G820" s="41"/>
      <c r="H820" s="41"/>
      <c r="I820" s="135"/>
    </row>
    <row r="821" spans="1:9" ht="27" customHeight="1">
      <c r="A821" s="41"/>
      <c r="B821" s="41"/>
      <c r="C821" s="41"/>
      <c r="E821" s="255" t="s">
        <v>505</v>
      </c>
      <c r="F821" s="256" t="s">
        <v>686</v>
      </c>
      <c r="G821" s="257" t="s">
        <v>685</v>
      </c>
      <c r="H821" s="41"/>
      <c r="I821" s="135"/>
    </row>
    <row r="822" spans="1:9" ht="27" customHeight="1" thickBot="1">
      <c r="A822" s="41"/>
      <c r="B822" s="245" t="s">
        <v>506</v>
      </c>
      <c r="C822" s="3"/>
      <c r="E822" s="258" t="s">
        <v>716</v>
      </c>
      <c r="F822" s="259" t="s">
        <v>716</v>
      </c>
      <c r="G822" s="260" t="s">
        <v>507</v>
      </c>
      <c r="H822" s="41"/>
      <c r="I822" s="135"/>
    </row>
    <row r="823" spans="1:9" ht="20.25" customHeight="1" thickBot="1">
      <c r="A823" s="41"/>
      <c r="B823" s="41"/>
      <c r="C823" s="41"/>
      <c r="E823" s="222">
        <v>1</v>
      </c>
      <c r="F823" s="223">
        <v>2</v>
      </c>
      <c r="G823" s="224">
        <v>3</v>
      </c>
      <c r="H823" s="41"/>
      <c r="I823" s="135"/>
    </row>
    <row r="824" spans="1:9" ht="22.5" customHeight="1">
      <c r="A824" s="111"/>
      <c r="B824" s="561" t="s">
        <v>508</v>
      </c>
      <c r="C824" s="562"/>
      <c r="D824" s="563"/>
      <c r="E824" s="241">
        <v>7878</v>
      </c>
      <c r="F824" s="225">
        <v>7878</v>
      </c>
      <c r="G824" s="226">
        <f aca="true" t="shared" si="46" ref="G824:G840">F824/E824</f>
        <v>1</v>
      </c>
      <c r="H824" s="111"/>
      <c r="I824" s="135"/>
    </row>
    <row r="825" spans="1:9" ht="22.5" customHeight="1">
      <c r="A825" s="113"/>
      <c r="B825" s="552" t="s">
        <v>509</v>
      </c>
      <c r="C825" s="553"/>
      <c r="D825" s="554"/>
      <c r="E825" s="242">
        <v>48000</v>
      </c>
      <c r="F825" s="112">
        <v>48000</v>
      </c>
      <c r="G825" s="227">
        <f t="shared" si="46"/>
        <v>1</v>
      </c>
      <c r="H825" s="113"/>
      <c r="I825" s="135"/>
    </row>
    <row r="826" spans="1:9" ht="22.5" customHeight="1">
      <c r="A826" s="113"/>
      <c r="B826" s="555" t="s">
        <v>101</v>
      </c>
      <c r="C826" s="556"/>
      <c r="D826" s="557"/>
      <c r="E826" s="249">
        <f>E824+E825</f>
        <v>55878</v>
      </c>
      <c r="F826" s="250">
        <f>F824+F825</f>
        <v>55878</v>
      </c>
      <c r="G826" s="251">
        <f t="shared" si="46"/>
        <v>1</v>
      </c>
      <c r="H826" s="114"/>
      <c r="I826" s="135"/>
    </row>
    <row r="827" spans="1:9" ht="22.5" customHeight="1">
      <c r="A827" s="114"/>
      <c r="B827" s="552" t="s">
        <v>510</v>
      </c>
      <c r="C827" s="553"/>
      <c r="D827" s="554"/>
      <c r="E827" s="243">
        <v>80000</v>
      </c>
      <c r="F827" s="112">
        <v>80000</v>
      </c>
      <c r="G827" s="227">
        <f t="shared" si="46"/>
        <v>1</v>
      </c>
      <c r="H827" s="114"/>
      <c r="I827" s="135"/>
    </row>
    <row r="828" spans="1:9" ht="22.5" customHeight="1">
      <c r="A828" s="111"/>
      <c r="B828" s="555" t="s">
        <v>511</v>
      </c>
      <c r="C828" s="556"/>
      <c r="D828" s="557"/>
      <c r="E828" s="249">
        <f>E827</f>
        <v>80000</v>
      </c>
      <c r="F828" s="250">
        <f>F827</f>
        <v>80000</v>
      </c>
      <c r="G828" s="251">
        <f t="shared" si="46"/>
        <v>1</v>
      </c>
      <c r="H828" s="114"/>
      <c r="I828" s="135"/>
    </row>
    <row r="829" spans="1:9" ht="22.5" customHeight="1">
      <c r="A829" s="113"/>
      <c r="B829" s="552" t="s">
        <v>727</v>
      </c>
      <c r="C829" s="553"/>
      <c r="D829" s="554"/>
      <c r="E829" s="242">
        <v>50000</v>
      </c>
      <c r="F829" s="112">
        <v>0</v>
      </c>
      <c r="G829" s="227">
        <f t="shared" si="46"/>
        <v>0</v>
      </c>
      <c r="H829" s="114"/>
      <c r="I829" s="135"/>
    </row>
    <row r="830" spans="1:9" ht="22.5" customHeight="1">
      <c r="A830" s="113"/>
      <c r="B830" s="552" t="s">
        <v>728</v>
      </c>
      <c r="C830" s="553"/>
      <c r="D830" s="554"/>
      <c r="E830" s="242">
        <v>27548.1</v>
      </c>
      <c r="F830" s="112">
        <v>27548.1</v>
      </c>
      <c r="G830" s="227">
        <f t="shared" si="46"/>
        <v>1</v>
      </c>
      <c r="H830" s="114"/>
      <c r="I830" s="135"/>
    </row>
    <row r="831" spans="1:9" ht="22.5" customHeight="1">
      <c r="A831" s="113"/>
      <c r="B831" s="555" t="s">
        <v>729</v>
      </c>
      <c r="C831" s="556"/>
      <c r="D831" s="557"/>
      <c r="E831" s="249">
        <f>E829+E830</f>
        <v>77548.1</v>
      </c>
      <c r="F831" s="250">
        <f>F829+F830</f>
        <v>27548.1</v>
      </c>
      <c r="G831" s="251">
        <f t="shared" si="46"/>
        <v>0.3552388775482571</v>
      </c>
      <c r="H831" s="114"/>
      <c r="I831" s="135"/>
    </row>
    <row r="832" spans="1:9" ht="22.5" customHeight="1">
      <c r="A832" s="113"/>
      <c r="B832" s="574" t="s">
        <v>730</v>
      </c>
      <c r="C832" s="575"/>
      <c r="D832" s="576"/>
      <c r="E832" s="244">
        <v>45002.79</v>
      </c>
      <c r="F832" s="115">
        <v>8932.88</v>
      </c>
      <c r="G832" s="228">
        <f t="shared" si="46"/>
        <v>0.19849613768390803</v>
      </c>
      <c r="H832" s="114"/>
      <c r="I832" s="135"/>
    </row>
    <row r="833" spans="1:9" ht="22.5" customHeight="1">
      <c r="A833" s="113"/>
      <c r="B833" s="555" t="s">
        <v>731</v>
      </c>
      <c r="C833" s="556"/>
      <c r="D833" s="557"/>
      <c r="E833" s="249">
        <f>E832</f>
        <v>45002.79</v>
      </c>
      <c r="F833" s="250">
        <f>F832</f>
        <v>8932.88</v>
      </c>
      <c r="G833" s="251">
        <f t="shared" si="46"/>
        <v>0.19849613768390803</v>
      </c>
      <c r="H833" s="114"/>
      <c r="I833" s="135"/>
    </row>
    <row r="834" spans="1:9" ht="22.5" customHeight="1">
      <c r="A834" s="113"/>
      <c r="B834" s="552" t="s">
        <v>732</v>
      </c>
      <c r="C834" s="553"/>
      <c r="D834" s="554"/>
      <c r="E834" s="242">
        <v>69600</v>
      </c>
      <c r="F834" s="112">
        <v>17100</v>
      </c>
      <c r="G834" s="227">
        <f t="shared" si="46"/>
        <v>0.24568965517241378</v>
      </c>
      <c r="H834" s="114"/>
      <c r="I834" s="135"/>
    </row>
    <row r="835" spans="1:9" ht="22.5" customHeight="1">
      <c r="A835" s="113"/>
      <c r="B835" s="555" t="s">
        <v>733</v>
      </c>
      <c r="C835" s="556"/>
      <c r="D835" s="557"/>
      <c r="E835" s="249">
        <f>E834</f>
        <v>69600</v>
      </c>
      <c r="F835" s="250">
        <f>F834</f>
        <v>17100</v>
      </c>
      <c r="G835" s="251">
        <f t="shared" si="46"/>
        <v>0.24568965517241378</v>
      </c>
      <c r="H835" s="114"/>
      <c r="I835" s="135"/>
    </row>
    <row r="836" spans="1:9" ht="22.5" customHeight="1">
      <c r="A836" s="113"/>
      <c r="B836" s="552" t="s">
        <v>734</v>
      </c>
      <c r="C836" s="553"/>
      <c r="D836" s="554"/>
      <c r="E836" s="242">
        <v>6000</v>
      </c>
      <c r="F836" s="112">
        <v>0</v>
      </c>
      <c r="G836" s="227">
        <f t="shared" si="46"/>
        <v>0</v>
      </c>
      <c r="H836" s="114"/>
      <c r="I836" s="135"/>
    </row>
    <row r="837" spans="1:9" ht="22.5" customHeight="1">
      <c r="A837" s="113"/>
      <c r="B837" s="555" t="s">
        <v>735</v>
      </c>
      <c r="C837" s="556"/>
      <c r="D837" s="557"/>
      <c r="E837" s="249">
        <f>E836</f>
        <v>6000</v>
      </c>
      <c r="F837" s="250">
        <f>F836</f>
        <v>0</v>
      </c>
      <c r="G837" s="251">
        <f t="shared" si="46"/>
        <v>0</v>
      </c>
      <c r="H837" s="114"/>
      <c r="I837" s="135"/>
    </row>
    <row r="838" spans="1:9" ht="22.5" customHeight="1">
      <c r="A838" s="113"/>
      <c r="B838" s="552" t="s">
        <v>736</v>
      </c>
      <c r="C838" s="553"/>
      <c r="D838" s="554"/>
      <c r="E838" s="242">
        <v>9800</v>
      </c>
      <c r="F838" s="112">
        <v>0</v>
      </c>
      <c r="G838" s="227">
        <f t="shared" si="46"/>
        <v>0</v>
      </c>
      <c r="H838" s="114"/>
      <c r="I838" s="135"/>
    </row>
    <row r="839" spans="1:9" ht="22.5" customHeight="1">
      <c r="A839" s="113"/>
      <c r="B839" s="555" t="s">
        <v>737</v>
      </c>
      <c r="C839" s="556"/>
      <c r="D839" s="557"/>
      <c r="E839" s="252">
        <f>E838</f>
        <v>9800</v>
      </c>
      <c r="F839" s="253">
        <f>F838</f>
        <v>0</v>
      </c>
      <c r="G839" s="254">
        <f t="shared" si="46"/>
        <v>0</v>
      </c>
      <c r="H839" s="114"/>
      <c r="I839" s="135"/>
    </row>
    <row r="840" spans="1:9" ht="29.25" customHeight="1" thickBot="1">
      <c r="A840" s="113"/>
      <c r="B840" s="558" t="s">
        <v>738</v>
      </c>
      <c r="C840" s="559"/>
      <c r="D840" s="560"/>
      <c r="E840" s="246">
        <f>E826+E828+E831+E833+E835+E837</f>
        <v>334028.89</v>
      </c>
      <c r="F840" s="247">
        <f>F826+F828+F831+F833+F835+F837</f>
        <v>189458.98</v>
      </c>
      <c r="G840" s="248">
        <f t="shared" si="46"/>
        <v>0.5671933945593748</v>
      </c>
      <c r="H840" s="114"/>
      <c r="I840" s="135"/>
    </row>
    <row r="841" spans="1:9" ht="20.25" customHeight="1">
      <c r="A841" s="113"/>
      <c r="B841" s="2"/>
      <c r="C841" s="2"/>
      <c r="D841" s="116"/>
      <c r="E841" s="116"/>
      <c r="F841" s="117"/>
      <c r="G841" s="114"/>
      <c r="H841" s="114"/>
      <c r="I841" s="135"/>
    </row>
    <row r="842" spans="1:9" ht="20.25" customHeight="1">
      <c r="A842" s="488" t="s">
        <v>739</v>
      </c>
      <c r="B842" s="488"/>
      <c r="C842" s="488"/>
      <c r="D842" s="488"/>
      <c r="E842" s="488"/>
      <c r="F842" s="488"/>
      <c r="G842" s="488"/>
      <c r="H842" s="488"/>
      <c r="I842" s="488"/>
    </row>
    <row r="843" spans="1:9" ht="20.25" customHeight="1">
      <c r="A843" s="113"/>
      <c r="B843" s="2"/>
      <c r="C843" s="2"/>
      <c r="D843" s="116"/>
      <c r="E843" s="116"/>
      <c r="F843" s="117"/>
      <c r="G843" s="114"/>
      <c r="H843" s="114"/>
      <c r="I843" s="135"/>
    </row>
    <row r="844" spans="1:9" ht="20.25" customHeight="1">
      <c r="A844" s="113"/>
      <c r="B844" s="135"/>
      <c r="C844" s="135"/>
      <c r="D844" s="135"/>
      <c r="E844" s="135"/>
      <c r="F844" s="135"/>
      <c r="G844" s="114"/>
      <c r="H844" s="135"/>
      <c r="I844" s="135"/>
    </row>
    <row r="845" spans="1:9" ht="20.25" customHeight="1">
      <c r="A845" s="113"/>
      <c r="B845" s="135"/>
      <c r="C845" s="135"/>
      <c r="D845" s="135"/>
      <c r="E845" s="135"/>
      <c r="F845" s="135"/>
      <c r="G845" s="114"/>
      <c r="H845" s="177"/>
      <c r="I845" s="135"/>
    </row>
    <row r="846" spans="1:9" ht="20.25" customHeight="1">
      <c r="A846" s="135"/>
      <c r="B846" s="135"/>
      <c r="C846" s="135"/>
      <c r="D846" s="135"/>
      <c r="E846" s="135"/>
      <c r="F846" s="135"/>
      <c r="G846" s="135"/>
      <c r="H846" s="135"/>
      <c r="I846" s="135"/>
    </row>
    <row r="847" spans="1:9" ht="20.25" customHeight="1">
      <c r="A847" s="135"/>
      <c r="B847" s="135"/>
      <c r="C847" s="135"/>
      <c r="D847" s="135"/>
      <c r="E847" s="135"/>
      <c r="F847" s="135"/>
      <c r="G847" s="135"/>
      <c r="H847" s="135"/>
      <c r="I847" s="135"/>
    </row>
    <row r="848" spans="1:9" ht="20.25" customHeight="1">
      <c r="A848" s="135"/>
      <c r="B848" s="135"/>
      <c r="C848" s="135"/>
      <c r="D848" s="135"/>
      <c r="E848" s="135"/>
      <c r="F848" s="135"/>
      <c r="G848" s="135"/>
      <c r="H848" s="135"/>
      <c r="I848" s="135"/>
    </row>
    <row r="849" spans="1:9" ht="20.25" customHeight="1">
      <c r="A849" s="135"/>
      <c r="B849" s="135"/>
      <c r="C849" s="135"/>
      <c r="D849" s="135"/>
      <c r="E849" s="135"/>
      <c r="F849" s="135"/>
      <c r="G849" s="135"/>
      <c r="H849" s="135"/>
      <c r="I849" s="135"/>
    </row>
    <row r="850" spans="1:9" ht="20.25" customHeight="1">
      <c r="A850" s="135"/>
      <c r="B850" s="135"/>
      <c r="C850" s="135"/>
      <c r="D850" s="135"/>
      <c r="E850" s="135"/>
      <c r="F850" s="135"/>
      <c r="G850" s="135"/>
      <c r="H850" s="135"/>
      <c r="I850" s="135"/>
    </row>
    <row r="851" spans="1:9" ht="20.25" customHeight="1">
      <c r="A851" s="135"/>
      <c r="B851" s="135"/>
      <c r="C851" s="135"/>
      <c r="D851" s="135"/>
      <c r="E851" s="135"/>
      <c r="F851" s="135"/>
      <c r="G851" s="135"/>
      <c r="H851" s="135"/>
      <c r="I851" s="135"/>
    </row>
    <row r="852" spans="1:9" ht="20.25" customHeight="1">
      <c r="A852" s="135"/>
      <c r="B852" s="135"/>
      <c r="C852" s="135"/>
      <c r="D852" s="135"/>
      <c r="E852" s="135"/>
      <c r="F852" s="135"/>
      <c r="G852" s="135"/>
      <c r="H852" s="135"/>
      <c r="I852" s="135"/>
    </row>
    <row r="853" spans="1:9" ht="20.25" customHeight="1">
      <c r="A853" s="135"/>
      <c r="B853" s="135"/>
      <c r="C853" s="135"/>
      <c r="D853" s="135"/>
      <c r="E853" s="135"/>
      <c r="F853" s="135"/>
      <c r="G853" s="135"/>
      <c r="H853" s="135"/>
      <c r="I853" s="135"/>
    </row>
    <row r="854" spans="1:9" ht="20.25" customHeight="1">
      <c r="A854" s="135"/>
      <c r="B854" s="135"/>
      <c r="C854" s="135"/>
      <c r="D854" s="135"/>
      <c r="E854" s="135"/>
      <c r="F854" s="135"/>
      <c r="G854" s="135"/>
      <c r="H854" s="135"/>
      <c r="I854" s="135"/>
    </row>
    <row r="855" spans="1:9" ht="20.25" customHeight="1">
      <c r="A855" s="135"/>
      <c r="B855" s="135"/>
      <c r="C855" s="135"/>
      <c r="D855" s="135"/>
      <c r="E855" s="135"/>
      <c r="F855" s="135"/>
      <c r="G855" s="135"/>
      <c r="H855" s="135"/>
      <c r="I855" s="135"/>
    </row>
    <row r="856" spans="1:9" ht="20.25" customHeight="1">
      <c r="A856" s="135"/>
      <c r="B856" s="135"/>
      <c r="C856" s="135"/>
      <c r="D856" s="135"/>
      <c r="E856" s="135"/>
      <c r="F856" s="135"/>
      <c r="G856" s="135"/>
      <c r="H856" s="135"/>
      <c r="I856" s="135"/>
    </row>
    <row r="857" spans="1:9" ht="20.25" customHeight="1">
      <c r="A857" s="135"/>
      <c r="B857" s="135"/>
      <c r="C857" s="135"/>
      <c r="D857" s="135"/>
      <c r="E857" s="135"/>
      <c r="F857" s="135"/>
      <c r="G857" s="135"/>
      <c r="H857" s="135"/>
      <c r="I857" s="135"/>
    </row>
    <row r="858" spans="1:9" ht="20.25" customHeight="1">
      <c r="A858" s="135"/>
      <c r="B858" s="135"/>
      <c r="C858" s="135"/>
      <c r="D858" s="135"/>
      <c r="E858" s="135"/>
      <c r="F858" s="135"/>
      <c r="G858" s="135"/>
      <c r="H858" s="135"/>
      <c r="I858" s="135"/>
    </row>
    <row r="859" spans="1:9" ht="20.25" customHeight="1">
      <c r="A859" s="135"/>
      <c r="B859" s="135"/>
      <c r="C859" s="135"/>
      <c r="D859" s="135"/>
      <c r="E859" s="135"/>
      <c r="F859" s="135"/>
      <c r="G859" s="135"/>
      <c r="H859" s="135"/>
      <c r="I859" s="135"/>
    </row>
    <row r="860" spans="1:9" ht="20.25" customHeight="1">
      <c r="A860" s="135"/>
      <c r="B860" s="135"/>
      <c r="C860" s="135"/>
      <c r="D860" s="135"/>
      <c r="E860" s="135"/>
      <c r="F860" s="135"/>
      <c r="G860" s="135"/>
      <c r="H860" s="135"/>
      <c r="I860" s="135"/>
    </row>
    <row r="861" spans="1:9" ht="20.25" customHeight="1">
      <c r="A861" s="135"/>
      <c r="B861" s="135"/>
      <c r="C861" s="135"/>
      <c r="D861" s="135"/>
      <c r="E861" s="135"/>
      <c r="F861" s="135"/>
      <c r="G861" s="135"/>
      <c r="H861" s="135"/>
      <c r="I861" s="135"/>
    </row>
    <row r="862" spans="1:9" ht="20.25" customHeight="1">
      <c r="A862" s="135"/>
      <c r="B862" s="135"/>
      <c r="C862" s="135"/>
      <c r="D862" s="135"/>
      <c r="E862" s="135"/>
      <c r="F862" s="135"/>
      <c r="G862" s="135"/>
      <c r="H862" s="135"/>
      <c r="I862" s="135"/>
    </row>
    <row r="863" spans="1:9" ht="20.25" customHeight="1">
      <c r="A863" s="135"/>
      <c r="B863" s="135"/>
      <c r="C863" s="135"/>
      <c r="D863" s="135"/>
      <c r="E863" s="135"/>
      <c r="F863" s="135"/>
      <c r="G863" s="135"/>
      <c r="H863" s="135"/>
      <c r="I863" s="135"/>
    </row>
    <row r="864" spans="1:9" ht="20.25" customHeight="1">
      <c r="A864" s="135"/>
      <c r="B864" s="135"/>
      <c r="C864" s="135"/>
      <c r="D864" s="135"/>
      <c r="E864" s="135"/>
      <c r="F864" s="135"/>
      <c r="G864" s="135"/>
      <c r="H864" s="135"/>
      <c r="I864" s="135"/>
    </row>
    <row r="865" spans="1:9" ht="20.25" customHeight="1">
      <c r="A865" s="135"/>
      <c r="B865" s="135"/>
      <c r="C865" s="135"/>
      <c r="D865" s="135"/>
      <c r="E865" s="135"/>
      <c r="F865" s="135"/>
      <c r="G865" s="135"/>
      <c r="H865" s="135"/>
      <c r="I865" s="135"/>
    </row>
    <row r="866" spans="1:9" ht="20.25" customHeight="1">
      <c r="A866" s="135"/>
      <c r="B866" s="135"/>
      <c r="C866" s="135"/>
      <c r="D866" s="135"/>
      <c r="E866" s="135"/>
      <c r="F866" s="135"/>
      <c r="G866" s="135"/>
      <c r="H866" s="135"/>
      <c r="I866" s="135"/>
    </row>
    <row r="867" spans="1:9" ht="20.25" customHeight="1">
      <c r="A867" s="135"/>
      <c r="B867" s="135"/>
      <c r="C867" s="135"/>
      <c r="D867" s="135"/>
      <c r="E867" s="135"/>
      <c r="F867" s="135"/>
      <c r="G867" s="135"/>
      <c r="H867" s="135"/>
      <c r="I867" s="135"/>
    </row>
    <row r="868" spans="1:9" ht="20.25" customHeight="1">
      <c r="A868" s="135"/>
      <c r="B868" s="135"/>
      <c r="C868" s="135"/>
      <c r="D868" s="135"/>
      <c r="E868" s="135"/>
      <c r="F868" s="135"/>
      <c r="G868" s="135"/>
      <c r="H868" s="135"/>
      <c r="I868" s="135"/>
    </row>
    <row r="869" spans="1:9" ht="20.25" customHeight="1">
      <c r="A869" s="135"/>
      <c r="B869" s="135"/>
      <c r="C869" s="135"/>
      <c r="D869" s="135"/>
      <c r="E869" s="135"/>
      <c r="F869" s="135"/>
      <c r="G869" s="135"/>
      <c r="H869" s="135"/>
      <c r="I869" s="135"/>
    </row>
    <row r="870" spans="1:9" ht="20.25" customHeight="1">
      <c r="A870" s="135"/>
      <c r="B870" s="135"/>
      <c r="C870" s="135"/>
      <c r="D870" s="135"/>
      <c r="E870" s="135"/>
      <c r="F870" s="135"/>
      <c r="G870" s="135"/>
      <c r="H870" s="135"/>
      <c r="I870" s="135"/>
    </row>
    <row r="871" spans="1:9" ht="20.25" customHeight="1">
      <c r="A871" s="135"/>
      <c r="B871" s="135"/>
      <c r="C871" s="135"/>
      <c r="D871" s="135"/>
      <c r="E871" s="135"/>
      <c r="F871" s="135"/>
      <c r="G871" s="135"/>
      <c r="H871" s="135"/>
      <c r="I871" s="135"/>
    </row>
    <row r="872" spans="1:9" ht="20.25" customHeight="1">
      <c r="A872" s="135"/>
      <c r="B872" s="135"/>
      <c r="C872" s="135"/>
      <c r="D872" s="135"/>
      <c r="E872" s="135"/>
      <c r="F872" s="135"/>
      <c r="G872" s="135"/>
      <c r="H872" s="135"/>
      <c r="I872" s="135"/>
    </row>
    <row r="873" spans="1:8" ht="20.25" customHeight="1">
      <c r="A873" s="135"/>
      <c r="B873" s="135"/>
      <c r="C873" s="135"/>
      <c r="D873" s="135"/>
      <c r="E873" s="135"/>
      <c r="F873" s="135"/>
      <c r="G873" s="135"/>
      <c r="H873" s="135"/>
    </row>
    <row r="874" spans="1:9" ht="20.25" customHeight="1">
      <c r="A874" s="135"/>
      <c r="B874" s="135"/>
      <c r="C874" s="135"/>
      <c r="D874" s="135"/>
      <c r="E874" s="135"/>
      <c r="F874" s="135"/>
      <c r="G874" s="135"/>
      <c r="H874" s="135"/>
      <c r="I874" s="272">
        <v>13</v>
      </c>
    </row>
    <row r="875" ht="20.25" customHeight="1"/>
    <row r="876" ht="20.25" customHeight="1"/>
    <row r="877" ht="20.25" customHeight="1"/>
    <row r="878" ht="39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30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s="273" customFormat="1" ht="21" customHeight="1"/>
    <row r="902" s="273" customFormat="1" ht="21" customHeight="1"/>
    <row r="903" s="273" customFormat="1" ht="21" customHeight="1"/>
    <row r="904" s="273" customFormat="1" ht="21" customHeight="1"/>
    <row r="905" s="273" customFormat="1" ht="21" customHeight="1"/>
    <row r="906" s="273" customFormat="1" ht="21" customHeight="1"/>
    <row r="907" s="273" customFormat="1" ht="21" customHeight="1"/>
    <row r="908" s="273" customFormat="1" ht="21" customHeight="1"/>
    <row r="909" s="273" customFormat="1" ht="30" customHeight="1"/>
    <row r="910" s="273" customFormat="1" ht="21" customHeight="1"/>
    <row r="911" s="273" customFormat="1" ht="21" customHeight="1"/>
    <row r="912" s="273" customFormat="1" ht="21" customHeight="1"/>
    <row r="913" s="273" customFormat="1" ht="30" customHeight="1"/>
    <row r="914" s="273" customFormat="1" ht="21" customHeight="1"/>
    <row r="915" s="273" customFormat="1" ht="21" customHeight="1"/>
    <row r="916" s="273" customFormat="1" ht="21" customHeight="1"/>
    <row r="917" s="273" customFormat="1" ht="21" customHeight="1"/>
    <row r="918" s="273" customFormat="1" ht="21" customHeight="1"/>
    <row r="919" s="273" customFormat="1" ht="26.25" customHeight="1"/>
    <row r="920" s="273" customFormat="1" ht="21" customHeight="1"/>
    <row r="921" s="273" customFormat="1" ht="21" customHeight="1"/>
    <row r="922" s="273" customFormat="1" ht="21" customHeight="1"/>
    <row r="923" s="273" customFormat="1" ht="21" customHeight="1"/>
    <row r="924" s="273" customFormat="1" ht="21" customHeight="1"/>
    <row r="925" s="273" customFormat="1" ht="26.25" customHeight="1"/>
    <row r="926" s="273" customFormat="1" ht="21" customHeight="1"/>
    <row r="927" s="273" customFormat="1" ht="21" customHeight="1"/>
    <row r="928" s="273" customFormat="1" ht="21" customHeight="1"/>
    <row r="929" s="273" customFormat="1" ht="21" customHeight="1"/>
    <row r="930" s="273" customFormat="1" ht="21" customHeight="1"/>
    <row r="931" s="273" customFormat="1" ht="21" customHeight="1"/>
    <row r="932" s="273" customFormat="1" ht="21" customHeight="1"/>
    <row r="933" s="273" customFormat="1" ht="21" customHeight="1"/>
    <row r="934" s="273" customFormat="1" ht="21" customHeight="1"/>
    <row r="935" s="273" customFormat="1" ht="21" customHeight="1"/>
    <row r="936" s="273" customFormat="1" ht="21" customHeight="1"/>
    <row r="937" s="273" customFormat="1" ht="21" customHeight="1"/>
    <row r="938" s="273" customFormat="1" ht="21" customHeight="1"/>
    <row r="939" s="273" customFormat="1" ht="21" customHeight="1"/>
    <row r="940" s="273" customFormat="1" ht="21" customHeight="1"/>
    <row r="941" s="273" customFormat="1" ht="21" customHeight="1"/>
    <row r="942" s="273" customFormat="1" ht="21" customHeight="1"/>
    <row r="943" s="273" customFormat="1" ht="21" customHeight="1"/>
    <row r="944" s="273" customFormat="1" ht="21" customHeight="1"/>
    <row r="945" s="273" customFormat="1" ht="21" customHeight="1"/>
    <row r="946" s="273" customFormat="1" ht="21" customHeight="1"/>
    <row r="947" s="273" customFormat="1" ht="21" customHeight="1"/>
    <row r="948" s="273" customFormat="1" ht="21" customHeight="1"/>
    <row r="949" s="273" customFormat="1" ht="21" customHeight="1"/>
    <row r="950" s="273" customFormat="1" ht="21" customHeight="1"/>
    <row r="951" s="273" customFormat="1" ht="21" customHeight="1"/>
    <row r="952" s="273" customFormat="1" ht="21" customHeight="1"/>
    <row r="953" s="273" customFormat="1" ht="21" customHeight="1"/>
    <row r="954" s="273" customFormat="1" ht="21" customHeight="1"/>
    <row r="955" s="273" customFormat="1" ht="21" customHeight="1"/>
    <row r="956" s="273" customFormat="1" ht="21" customHeight="1"/>
    <row r="957" s="273" customFormat="1" ht="21" customHeight="1"/>
    <row r="958" s="273" customFormat="1" ht="21" customHeight="1"/>
    <row r="959" s="273" customFormat="1" ht="21" customHeight="1"/>
    <row r="960" s="273" customFormat="1" ht="21" customHeight="1"/>
    <row r="961" s="273" customFormat="1" ht="21" customHeight="1"/>
    <row r="962" s="273" customFormat="1" ht="21" customHeight="1"/>
    <row r="963" s="273" customFormat="1" ht="21" customHeight="1"/>
    <row r="964" s="273" customFormat="1" ht="21" customHeight="1"/>
    <row r="965" s="273" customFormat="1" ht="21" customHeight="1"/>
    <row r="966" s="273" customFormat="1" ht="21" customHeight="1"/>
    <row r="967" s="273" customFormat="1" ht="21" customHeight="1"/>
    <row r="968" s="273" customFormat="1" ht="21" customHeight="1"/>
    <row r="969" s="273" customFormat="1" ht="21" customHeight="1"/>
    <row r="970" s="273" customFormat="1" ht="21" customHeight="1"/>
    <row r="971" s="273" customFormat="1" ht="21" customHeight="1"/>
    <row r="972" s="273" customFormat="1" ht="21" customHeight="1"/>
    <row r="973" s="273" customFormat="1" ht="21" customHeight="1"/>
    <row r="974" s="273" customFormat="1" ht="21" customHeight="1"/>
    <row r="975" s="273" customFormat="1" ht="21" customHeight="1"/>
    <row r="976" s="273" customFormat="1" ht="21" customHeight="1"/>
    <row r="977" s="273" customFormat="1" ht="21" customHeight="1"/>
    <row r="978" s="273" customFormat="1" ht="21" customHeight="1"/>
    <row r="979" s="273" customFormat="1" ht="21" customHeight="1"/>
    <row r="980" s="273" customFormat="1" ht="21" customHeight="1"/>
    <row r="981" s="273" customFormat="1" ht="21" customHeight="1"/>
    <row r="982" s="273" customFormat="1" ht="21" customHeight="1"/>
    <row r="983" s="273" customFormat="1" ht="21" customHeight="1"/>
    <row r="984" s="273" customFormat="1" ht="21" customHeight="1"/>
    <row r="985" s="273" customFormat="1" ht="21" customHeight="1"/>
    <row r="986" s="273" customFormat="1" ht="21" customHeight="1"/>
    <row r="987" s="273" customFormat="1" ht="21" customHeight="1"/>
    <row r="988" s="273" customFormat="1" ht="21" customHeight="1"/>
    <row r="989" s="273" customFormat="1" ht="21" customHeight="1"/>
    <row r="990" s="273" customFormat="1" ht="21" customHeight="1"/>
    <row r="991" s="273" customFormat="1" ht="21" customHeight="1"/>
    <row r="992" s="273" customFormat="1" ht="21" customHeight="1"/>
    <row r="993" s="273" customFormat="1" ht="21" customHeight="1"/>
    <row r="994" s="273" customFormat="1" ht="21" customHeight="1"/>
    <row r="995" s="273" customFormat="1" ht="21" customHeight="1"/>
    <row r="996" s="273" customFormat="1" ht="21" customHeight="1"/>
    <row r="997" s="273" customFormat="1" ht="21" customHeight="1"/>
    <row r="998" s="273" customFormat="1" ht="21" customHeight="1"/>
    <row r="999" s="273" customFormat="1" ht="21" customHeight="1"/>
    <row r="1000" s="273" customFormat="1" ht="21" customHeight="1"/>
    <row r="1001" s="273" customFormat="1" ht="21" customHeight="1"/>
    <row r="1002" s="273" customFormat="1" ht="21" customHeight="1"/>
    <row r="1003" s="273" customFormat="1" ht="21" customHeight="1"/>
    <row r="1004" s="273" customFormat="1" ht="21" customHeight="1"/>
    <row r="1005" s="273" customFormat="1" ht="21" customHeight="1"/>
    <row r="1006" s="273" customFormat="1" ht="21" customHeight="1"/>
    <row r="1007" s="273" customFormat="1" ht="21" customHeight="1"/>
    <row r="1008" s="273" customFormat="1" ht="21" customHeight="1"/>
    <row r="1009" s="273" customFormat="1" ht="21" customHeight="1"/>
    <row r="1010" s="273" customFormat="1" ht="21" customHeight="1"/>
    <row r="1011" s="273" customFormat="1" ht="21" customHeight="1"/>
    <row r="1012" s="273" customFormat="1" ht="21" customHeight="1"/>
    <row r="1013" s="273" customFormat="1" ht="21" customHeight="1"/>
    <row r="1014" s="273" customFormat="1" ht="21" customHeight="1"/>
    <row r="1015" s="273" customFormat="1" ht="21" customHeight="1"/>
    <row r="1016" s="273" customFormat="1" ht="21" customHeight="1"/>
    <row r="1017" s="273" customFormat="1" ht="21" customHeight="1"/>
    <row r="1018" s="273" customFormat="1" ht="21" customHeight="1"/>
    <row r="1019" s="273" customFormat="1" ht="21" customHeight="1"/>
    <row r="1020" s="273" customFormat="1" ht="21" customHeight="1"/>
    <row r="1021" s="273" customFormat="1" ht="21" customHeight="1"/>
    <row r="1022" s="273" customFormat="1" ht="21" customHeight="1"/>
    <row r="1023" s="273" customFormat="1" ht="21" customHeight="1"/>
    <row r="1024" s="273" customFormat="1" ht="21" customHeight="1"/>
    <row r="1025" s="273" customFormat="1" ht="21" customHeight="1"/>
    <row r="1026" s="273" customFormat="1" ht="21" customHeight="1"/>
    <row r="1027" s="273" customFormat="1" ht="21" customHeight="1"/>
    <row r="1028" s="273" customFormat="1" ht="21" customHeight="1"/>
    <row r="1029" s="273" customFormat="1" ht="21" customHeight="1"/>
    <row r="1030" s="273" customFormat="1" ht="21" customHeight="1"/>
    <row r="1031" s="273" customFormat="1" ht="21" customHeight="1"/>
    <row r="1032" s="273" customFormat="1" ht="21" customHeight="1"/>
    <row r="1033" s="273" customFormat="1" ht="21" customHeight="1"/>
    <row r="1034" s="273" customFormat="1" ht="21" customHeight="1"/>
    <row r="1035" s="273" customFormat="1" ht="21" customHeight="1"/>
    <row r="1036" s="273" customFormat="1" ht="21" customHeight="1"/>
    <row r="1037" s="273" customFormat="1" ht="21" customHeight="1"/>
    <row r="1038" s="273" customFormat="1" ht="21" customHeight="1"/>
    <row r="1039" s="273" customFormat="1" ht="21" customHeight="1"/>
    <row r="1040" s="273" customFormat="1" ht="21" customHeight="1"/>
    <row r="1041" s="273" customFormat="1" ht="21" customHeight="1"/>
    <row r="1042" s="273" customFormat="1" ht="21" customHeight="1"/>
    <row r="1043" s="273" customFormat="1" ht="21" customHeight="1"/>
    <row r="1044" s="273" customFormat="1" ht="21" customHeight="1"/>
    <row r="1045" s="273" customFormat="1" ht="21" customHeight="1"/>
    <row r="1046" s="273" customFormat="1" ht="21" customHeight="1"/>
    <row r="1047" s="273" customFormat="1" ht="21" customHeight="1"/>
    <row r="1048" s="273" customFormat="1" ht="21" customHeight="1"/>
    <row r="1049" s="273" customFormat="1" ht="21" customHeight="1"/>
    <row r="1050" s="273" customFormat="1" ht="21" customHeight="1"/>
    <row r="1051" s="273" customFormat="1" ht="21" customHeight="1"/>
    <row r="1052" s="273" customFormat="1" ht="21" customHeight="1"/>
    <row r="1053" s="273" customFormat="1" ht="21" customHeight="1"/>
    <row r="1054" s="273" customFormat="1" ht="21" customHeight="1"/>
    <row r="1055" s="273" customFormat="1" ht="21" customHeight="1"/>
    <row r="1056" s="273" customFormat="1" ht="21" customHeight="1"/>
    <row r="1057" s="273" customFormat="1" ht="21" customHeight="1"/>
    <row r="1058" s="273" customFormat="1" ht="21" customHeight="1"/>
    <row r="1059" s="273" customFormat="1" ht="21" customHeight="1"/>
    <row r="1060" s="273" customFormat="1" ht="21" customHeight="1"/>
    <row r="1061" s="273" customFormat="1" ht="21" customHeight="1"/>
    <row r="1062" s="273" customFormat="1" ht="21" customHeight="1"/>
    <row r="1063" s="273" customFormat="1" ht="21" customHeight="1"/>
    <row r="1064" s="273" customFormat="1" ht="21" customHeight="1"/>
    <row r="1065" s="273" customFormat="1" ht="21" customHeight="1"/>
    <row r="1066" s="273" customFormat="1" ht="21" customHeight="1"/>
    <row r="1067" s="273" customFormat="1" ht="21" customHeight="1"/>
    <row r="1068" s="273" customFormat="1" ht="21" customHeight="1"/>
    <row r="1069" s="273" customFormat="1" ht="21" customHeight="1"/>
    <row r="1070" s="273" customFormat="1" ht="21" customHeight="1"/>
    <row r="1071" s="273" customFormat="1" ht="21" customHeight="1"/>
    <row r="1072" s="273" customFormat="1" ht="21" customHeight="1"/>
    <row r="1073" s="273" customFormat="1" ht="21" customHeight="1"/>
    <row r="1074" s="273" customFormat="1" ht="21" customHeight="1"/>
    <row r="1075" s="273" customFormat="1" ht="21" customHeight="1"/>
    <row r="1076" s="273" customFormat="1" ht="21" customHeight="1"/>
    <row r="1077" s="273" customFormat="1" ht="21" customHeight="1"/>
    <row r="1078" s="273" customFormat="1" ht="21" customHeight="1"/>
    <row r="1079" s="273" customFormat="1" ht="21" customHeight="1"/>
    <row r="1080" s="273" customFormat="1" ht="21" customHeight="1"/>
    <row r="1081" s="273" customFormat="1" ht="21" customHeight="1"/>
    <row r="1082" s="273" customFormat="1" ht="21" customHeight="1"/>
    <row r="1083" s="273" customFormat="1" ht="21" customHeight="1"/>
    <row r="1084" s="273" customFormat="1" ht="21" customHeight="1"/>
    <row r="1085" s="273" customFormat="1" ht="21" customHeight="1"/>
    <row r="1086" s="273" customFormat="1" ht="21" customHeight="1"/>
    <row r="1087" s="273" customFormat="1" ht="21" customHeight="1"/>
    <row r="1088" s="273" customFormat="1" ht="21" customHeight="1"/>
    <row r="1089" s="273" customFormat="1" ht="21" customHeight="1"/>
    <row r="1090" s="273" customFormat="1" ht="21" customHeight="1"/>
    <row r="1091" s="273" customFormat="1" ht="21" customHeight="1"/>
    <row r="1092" s="273" customFormat="1" ht="21" customHeight="1"/>
    <row r="1093" s="273" customFormat="1" ht="21" customHeight="1"/>
    <row r="1094" s="273" customFormat="1" ht="21" customHeight="1"/>
    <row r="1095" s="273" customFormat="1" ht="21" customHeight="1"/>
    <row r="1096" s="273" customFormat="1" ht="21" customHeight="1"/>
    <row r="1097" s="273" customFormat="1" ht="21" customHeight="1"/>
    <row r="1098" s="273" customFormat="1" ht="21" customHeight="1"/>
    <row r="1099" s="273" customFormat="1" ht="21" customHeight="1"/>
    <row r="1100" s="273" customFormat="1" ht="21" customHeight="1"/>
    <row r="1101" s="273" customFormat="1" ht="21" customHeight="1"/>
    <row r="1102" s="273" customFormat="1" ht="21" customHeight="1"/>
    <row r="1103" s="273" customFormat="1" ht="21" customHeight="1"/>
    <row r="1104" s="273" customFormat="1" ht="21" customHeight="1"/>
    <row r="1105" s="273" customFormat="1" ht="21" customHeight="1"/>
    <row r="1106" s="273" customFormat="1" ht="21" customHeight="1"/>
    <row r="1107" s="273" customFormat="1" ht="21" customHeight="1"/>
    <row r="1108" s="273" customFormat="1" ht="21" customHeight="1"/>
    <row r="1109" s="273" customFormat="1" ht="21" customHeight="1"/>
    <row r="1110" s="273" customFormat="1" ht="21" customHeight="1"/>
    <row r="1111" s="273" customFormat="1" ht="21" customHeight="1"/>
    <row r="1112" s="273" customFormat="1" ht="21" customHeight="1"/>
    <row r="1113" s="273" customFormat="1" ht="21" customHeight="1"/>
    <row r="1114" s="273" customFormat="1" ht="21" customHeight="1"/>
    <row r="1115" s="273" customFormat="1" ht="21" customHeight="1"/>
    <row r="1116" s="273" customFormat="1" ht="21" customHeight="1"/>
    <row r="1117" s="273" customFormat="1" ht="21" customHeight="1"/>
    <row r="1118" s="273" customFormat="1" ht="21" customHeight="1"/>
    <row r="1119" s="273" customFormat="1" ht="21" customHeight="1"/>
    <row r="1120" s="273" customFormat="1" ht="21" customHeight="1"/>
    <row r="1121" s="273" customFormat="1" ht="21" customHeight="1"/>
    <row r="1122" s="273" customFormat="1" ht="21" customHeight="1"/>
    <row r="1123" s="273" customFormat="1" ht="21" customHeight="1"/>
    <row r="1124" s="273" customFormat="1" ht="21" customHeight="1"/>
    <row r="1125" s="273" customFormat="1" ht="21" customHeight="1"/>
    <row r="1126" s="273" customFormat="1" ht="21" customHeight="1"/>
    <row r="1127" s="273" customFormat="1" ht="21" customHeight="1"/>
    <row r="1128" s="273" customFormat="1" ht="21" customHeight="1"/>
    <row r="1129" s="273" customFormat="1" ht="21" customHeight="1"/>
    <row r="1130" s="273" customFormat="1" ht="21" customHeight="1"/>
    <row r="1131" s="273" customFormat="1" ht="21" customHeight="1"/>
    <row r="1132" s="273" customFormat="1" ht="21" customHeight="1"/>
    <row r="1133" s="273" customFormat="1" ht="21" customHeight="1"/>
    <row r="1134" s="273" customFormat="1" ht="21" customHeight="1"/>
    <row r="1135" s="273" customFormat="1" ht="21" customHeight="1"/>
    <row r="1136" s="273" customFormat="1" ht="21" customHeight="1"/>
    <row r="1137" s="273" customFormat="1" ht="21" customHeight="1"/>
    <row r="1138" s="273" customFormat="1" ht="21" customHeight="1"/>
    <row r="1139" s="273" customFormat="1" ht="21" customHeight="1"/>
    <row r="1140" s="273" customFormat="1" ht="21" customHeight="1"/>
    <row r="1141" s="273" customFormat="1" ht="21" customHeight="1"/>
    <row r="1142" s="273" customFormat="1" ht="21" customHeight="1"/>
    <row r="1143" s="273" customFormat="1" ht="21" customHeight="1"/>
    <row r="1144" s="273" customFormat="1" ht="21" customHeight="1"/>
    <row r="1145" s="273" customFormat="1" ht="21" customHeight="1"/>
    <row r="1146" s="273" customFormat="1" ht="21" customHeight="1"/>
    <row r="1147" s="273" customFormat="1" ht="21" customHeight="1"/>
    <row r="1148" s="273" customFormat="1" ht="21" customHeight="1"/>
    <row r="1149" s="273" customFormat="1" ht="21" customHeight="1"/>
    <row r="1150" s="273" customFormat="1" ht="21" customHeight="1"/>
    <row r="1151" s="273" customFormat="1" ht="21" customHeight="1"/>
    <row r="1152" s="273" customFormat="1" ht="21" customHeight="1"/>
    <row r="1153" s="273" customFormat="1" ht="21" customHeight="1"/>
    <row r="1154" s="273" customFormat="1" ht="21" customHeight="1"/>
    <row r="1155" s="273" customFormat="1" ht="21" customHeight="1"/>
    <row r="1156" s="273" customFormat="1" ht="21" customHeight="1"/>
    <row r="1157" s="273" customFormat="1" ht="21" customHeight="1"/>
    <row r="1158" s="273" customFormat="1" ht="21" customHeight="1"/>
    <row r="1159" s="273" customFormat="1" ht="21" customHeight="1"/>
    <row r="1160" s="273" customFormat="1" ht="21" customHeight="1"/>
    <row r="1161" s="273" customFormat="1" ht="21" customHeight="1"/>
    <row r="1162" s="273" customFormat="1" ht="21" customHeight="1"/>
    <row r="1163" s="273" customFormat="1" ht="21" customHeight="1"/>
    <row r="1164" s="273" customFormat="1" ht="21" customHeight="1"/>
    <row r="1165" s="273" customFormat="1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</sheetData>
  <sheetProtection/>
  <mergeCells count="583">
    <mergeCell ref="B109:C109"/>
    <mergeCell ref="B110:C110"/>
    <mergeCell ref="B239:C239"/>
    <mergeCell ref="B240:C240"/>
    <mergeCell ref="B241:C241"/>
    <mergeCell ref="B233:C234"/>
    <mergeCell ref="B238:C238"/>
    <mergeCell ref="B235:C235"/>
    <mergeCell ref="B236:C236"/>
    <mergeCell ref="B237:C237"/>
    <mergeCell ref="A364:I364"/>
    <mergeCell ref="B297:C297"/>
    <mergeCell ref="A333:A334"/>
    <mergeCell ref="B333:C334"/>
    <mergeCell ref="B341:C341"/>
    <mergeCell ref="A348:I348"/>
    <mergeCell ref="B356:C356"/>
    <mergeCell ref="B302:C302"/>
    <mergeCell ref="B298:C298"/>
    <mergeCell ref="B340:C340"/>
    <mergeCell ref="B387:C387"/>
    <mergeCell ref="A365:I365"/>
    <mergeCell ref="A248:I248"/>
    <mergeCell ref="A243:I243"/>
    <mergeCell ref="A244:I244"/>
    <mergeCell ref="A245:I245"/>
    <mergeCell ref="A246:I246"/>
    <mergeCell ref="A247:I247"/>
    <mergeCell ref="B360:C360"/>
    <mergeCell ref="B359:C359"/>
    <mergeCell ref="A428:I428"/>
    <mergeCell ref="B426:C426"/>
    <mergeCell ref="A418:A419"/>
    <mergeCell ref="D416:F416"/>
    <mergeCell ref="B377:C377"/>
    <mergeCell ref="B395:C395"/>
    <mergeCell ref="B378:C378"/>
    <mergeCell ref="B379:C379"/>
    <mergeCell ref="B382:C382"/>
    <mergeCell ref="B383:C383"/>
    <mergeCell ref="B445:C445"/>
    <mergeCell ref="B443:C444"/>
    <mergeCell ref="B448:C448"/>
    <mergeCell ref="B447:C447"/>
    <mergeCell ref="B446:C446"/>
    <mergeCell ref="A439:I439"/>
    <mergeCell ref="B461:C461"/>
    <mergeCell ref="B449:C449"/>
    <mergeCell ref="B450:C450"/>
    <mergeCell ref="B451:C451"/>
    <mergeCell ref="B420:C420"/>
    <mergeCell ref="B424:C424"/>
    <mergeCell ref="B423:C423"/>
    <mergeCell ref="B422:C422"/>
    <mergeCell ref="B421:C421"/>
    <mergeCell ref="B425:C425"/>
    <mergeCell ref="B455:C455"/>
    <mergeCell ref="B454:C454"/>
    <mergeCell ref="B453:C453"/>
    <mergeCell ref="B460:C460"/>
    <mergeCell ref="B473:C473"/>
    <mergeCell ref="B466:C466"/>
    <mergeCell ref="B465:C465"/>
    <mergeCell ref="B464:C464"/>
    <mergeCell ref="B463:C463"/>
    <mergeCell ref="B462:C462"/>
    <mergeCell ref="B580:C580"/>
    <mergeCell ref="A584:I584"/>
    <mergeCell ref="B476:C476"/>
    <mergeCell ref="B475:C475"/>
    <mergeCell ref="B474:C474"/>
    <mergeCell ref="B452:C452"/>
    <mergeCell ref="B459:C459"/>
    <mergeCell ref="B458:C458"/>
    <mergeCell ref="B457:C457"/>
    <mergeCell ref="B456:C456"/>
    <mergeCell ref="B596:C596"/>
    <mergeCell ref="B595:C595"/>
    <mergeCell ref="B594:C594"/>
    <mergeCell ref="B593:C593"/>
    <mergeCell ref="B592:C592"/>
    <mergeCell ref="B514:C514"/>
    <mergeCell ref="B554:C554"/>
    <mergeCell ref="B555:C555"/>
    <mergeCell ref="B591:C591"/>
    <mergeCell ref="B589:C590"/>
    <mergeCell ref="B579:C579"/>
    <mergeCell ref="B578:C578"/>
    <mergeCell ref="A560:I560"/>
    <mergeCell ref="A572:I572"/>
    <mergeCell ref="B577:C577"/>
    <mergeCell ref="A559:I559"/>
    <mergeCell ref="B511:C511"/>
    <mergeCell ref="B518:C518"/>
    <mergeCell ref="B517:C517"/>
    <mergeCell ref="B516:C516"/>
    <mergeCell ref="B515:C515"/>
    <mergeCell ref="B556:C556"/>
    <mergeCell ref="B513:C513"/>
    <mergeCell ref="B512:C512"/>
    <mergeCell ref="B520:C520"/>
    <mergeCell ref="B548:C548"/>
    <mergeCell ref="B539:C539"/>
    <mergeCell ref="A525:I525"/>
    <mergeCell ref="A524:I524"/>
    <mergeCell ref="B543:C543"/>
    <mergeCell ref="B545:C545"/>
    <mergeCell ref="B522:C522"/>
    <mergeCell ref="B521:C521"/>
    <mergeCell ref="B519:C519"/>
    <mergeCell ref="B557:C557"/>
    <mergeCell ref="B506:C506"/>
    <mergeCell ref="B505:C505"/>
    <mergeCell ref="B550:C550"/>
    <mergeCell ref="B551:C551"/>
    <mergeCell ref="B552:C552"/>
    <mergeCell ref="B553:C553"/>
    <mergeCell ref="B546:C546"/>
    <mergeCell ref="B547:C547"/>
    <mergeCell ref="B494:C494"/>
    <mergeCell ref="B503:C503"/>
    <mergeCell ref="B504:C504"/>
    <mergeCell ref="B510:C510"/>
    <mergeCell ref="B509:C509"/>
    <mergeCell ref="B508:C508"/>
    <mergeCell ref="B507:C507"/>
    <mergeCell ref="A499:I499"/>
    <mergeCell ref="B497:C497"/>
    <mergeCell ref="B496:C496"/>
    <mergeCell ref="B495:C495"/>
    <mergeCell ref="B493:C493"/>
    <mergeCell ref="B492:C492"/>
    <mergeCell ref="B538:C538"/>
    <mergeCell ref="B529:C530"/>
    <mergeCell ref="B531:C531"/>
    <mergeCell ref="B502:C502"/>
    <mergeCell ref="B501:C501"/>
    <mergeCell ref="B500:C500"/>
    <mergeCell ref="B498:C498"/>
    <mergeCell ref="B482:C482"/>
    <mergeCell ref="B396:C396"/>
    <mergeCell ref="B471:C471"/>
    <mergeCell ref="B470:C470"/>
    <mergeCell ref="B479:C479"/>
    <mergeCell ref="B478:C478"/>
    <mergeCell ref="B468:C468"/>
    <mergeCell ref="B467:C467"/>
    <mergeCell ref="B469:C469"/>
    <mergeCell ref="B477:C477"/>
    <mergeCell ref="B608:C608"/>
    <mergeCell ref="B607:C607"/>
    <mergeCell ref="B606:C606"/>
    <mergeCell ref="B605:C605"/>
    <mergeCell ref="B612:C612"/>
    <mergeCell ref="B611:C611"/>
    <mergeCell ref="B610:C610"/>
    <mergeCell ref="B609:C609"/>
    <mergeCell ref="B620:C620"/>
    <mergeCell ref="B619:C619"/>
    <mergeCell ref="B618:C618"/>
    <mergeCell ref="B617:C617"/>
    <mergeCell ref="B604:C604"/>
    <mergeCell ref="B602:C603"/>
    <mergeCell ref="B616:C616"/>
    <mergeCell ref="B615:C615"/>
    <mergeCell ref="B614:C614"/>
    <mergeCell ref="B613:C613"/>
    <mergeCell ref="B621:C621"/>
    <mergeCell ref="B748:C748"/>
    <mergeCell ref="B743:C743"/>
    <mergeCell ref="B745:C745"/>
    <mergeCell ref="B744:C744"/>
    <mergeCell ref="B649:C649"/>
    <mergeCell ref="B645:C646"/>
    <mergeCell ref="B647:C647"/>
    <mergeCell ref="A641:I641"/>
    <mergeCell ref="B629:C629"/>
    <mergeCell ref="B628:C628"/>
    <mergeCell ref="B648:C648"/>
    <mergeCell ref="A632:I632"/>
    <mergeCell ref="A633:I633"/>
    <mergeCell ref="B622:C622"/>
    <mergeCell ref="B662:C662"/>
    <mergeCell ref="B665:C665"/>
    <mergeCell ref="G660:H660"/>
    <mergeCell ref="A671:I671"/>
    <mergeCell ref="B660:C661"/>
    <mergeCell ref="B623:C623"/>
    <mergeCell ref="B624:C624"/>
    <mergeCell ref="G645:H645"/>
    <mergeCell ref="B650:C650"/>
    <mergeCell ref="B630:C630"/>
    <mergeCell ref="B695:C695"/>
    <mergeCell ref="B694:C694"/>
    <mergeCell ref="B700:C700"/>
    <mergeCell ref="B698:C698"/>
    <mergeCell ref="B697:C697"/>
    <mergeCell ref="B696:C696"/>
    <mergeCell ref="B839:D839"/>
    <mergeCell ref="B838:D838"/>
    <mergeCell ref="B833:D833"/>
    <mergeCell ref="B834:D834"/>
    <mergeCell ref="B835:D835"/>
    <mergeCell ref="B836:D836"/>
    <mergeCell ref="B837:D837"/>
    <mergeCell ref="B831:D831"/>
    <mergeCell ref="B832:D832"/>
    <mergeCell ref="B829:D829"/>
    <mergeCell ref="B803:C803"/>
    <mergeCell ref="B830:D830"/>
    <mergeCell ref="A817:I817"/>
    <mergeCell ref="B807:C807"/>
    <mergeCell ref="B805:C805"/>
    <mergeCell ref="B804:C804"/>
    <mergeCell ref="B826:D826"/>
    <mergeCell ref="G741:H741"/>
    <mergeCell ref="A737:I737"/>
    <mergeCell ref="B749:C749"/>
    <mergeCell ref="B734:C734"/>
    <mergeCell ref="B747:C747"/>
    <mergeCell ref="B746:C746"/>
    <mergeCell ref="B741:C742"/>
    <mergeCell ref="A721:I721"/>
    <mergeCell ref="B704:C704"/>
    <mergeCell ref="B690:C690"/>
    <mergeCell ref="A713:I713"/>
    <mergeCell ref="B701:C701"/>
    <mergeCell ref="B689:C689"/>
    <mergeCell ref="B699:C699"/>
    <mergeCell ref="A714:I714"/>
    <mergeCell ref="B709:C709"/>
    <mergeCell ref="B705:C705"/>
    <mergeCell ref="B666:C666"/>
    <mergeCell ref="B684:C684"/>
    <mergeCell ref="B683:C683"/>
    <mergeCell ref="B682:C682"/>
    <mergeCell ref="B680:C681"/>
    <mergeCell ref="B688:C688"/>
    <mergeCell ref="B687:C687"/>
    <mergeCell ref="B685:C685"/>
    <mergeCell ref="B686:C686"/>
    <mergeCell ref="G680:H680"/>
    <mergeCell ref="B669:C669"/>
    <mergeCell ref="A673:I673"/>
    <mergeCell ref="A674:I674"/>
    <mergeCell ref="A672:I672"/>
    <mergeCell ref="B667:C667"/>
    <mergeCell ref="B294:C295"/>
    <mergeCell ref="A286:I286"/>
    <mergeCell ref="A287:I287"/>
    <mergeCell ref="A284:I284"/>
    <mergeCell ref="A283:I283"/>
    <mergeCell ref="A289:I289"/>
    <mergeCell ref="A290:I290"/>
    <mergeCell ref="A285:I285"/>
    <mergeCell ref="B99:C99"/>
    <mergeCell ref="A183:I183"/>
    <mergeCell ref="B93:C93"/>
    <mergeCell ref="B94:C94"/>
    <mergeCell ref="B100:C100"/>
    <mergeCell ref="B101:C101"/>
    <mergeCell ref="B95:C95"/>
    <mergeCell ref="B96:C96"/>
    <mergeCell ref="B107:C107"/>
    <mergeCell ref="B108:C108"/>
    <mergeCell ref="B86:C87"/>
    <mergeCell ref="B88:C88"/>
    <mergeCell ref="B89:C89"/>
    <mergeCell ref="B90:C90"/>
    <mergeCell ref="B91:C91"/>
    <mergeCell ref="B92:C92"/>
    <mergeCell ref="B798:C798"/>
    <mergeCell ref="B103:C103"/>
    <mergeCell ref="B104:C104"/>
    <mergeCell ref="A328:I328"/>
    <mergeCell ref="A326:I326"/>
    <mergeCell ref="A327:I327"/>
    <mergeCell ref="B111:C111"/>
    <mergeCell ref="B112:C112"/>
    <mergeCell ref="B105:C105"/>
    <mergeCell ref="B106:C106"/>
    <mergeCell ref="B796:C796"/>
    <mergeCell ref="B825:D825"/>
    <mergeCell ref="B780:C781"/>
    <mergeCell ref="B784:C784"/>
    <mergeCell ref="B785:C785"/>
    <mergeCell ref="B799:C799"/>
    <mergeCell ref="B802:C802"/>
    <mergeCell ref="B816:I816"/>
    <mergeCell ref="B801:C801"/>
    <mergeCell ref="B797:C797"/>
    <mergeCell ref="B782:C782"/>
    <mergeCell ref="B827:D827"/>
    <mergeCell ref="B828:D828"/>
    <mergeCell ref="A772:I772"/>
    <mergeCell ref="A842:I842"/>
    <mergeCell ref="G780:H780"/>
    <mergeCell ref="B840:D840"/>
    <mergeCell ref="B824:D824"/>
    <mergeCell ref="B800:C800"/>
    <mergeCell ref="B795:C795"/>
    <mergeCell ref="B808:C808"/>
    <mergeCell ref="A773:I773"/>
    <mergeCell ref="B794:C794"/>
    <mergeCell ref="B770:C770"/>
    <mergeCell ref="B767:C767"/>
    <mergeCell ref="E819:F819"/>
    <mergeCell ref="B769:C769"/>
    <mergeCell ref="B768:C768"/>
    <mergeCell ref="B786:C786"/>
    <mergeCell ref="B783:C783"/>
    <mergeCell ref="A639:I639"/>
    <mergeCell ref="B652:C652"/>
    <mergeCell ref="B653:C653"/>
    <mergeCell ref="A645:A646"/>
    <mergeCell ref="B766:C766"/>
    <mergeCell ref="B813:C813"/>
    <mergeCell ref="B812:C812"/>
    <mergeCell ref="B811:C811"/>
    <mergeCell ref="B810:C810"/>
    <mergeCell ref="B809:C809"/>
    <mergeCell ref="A655:I655"/>
    <mergeCell ref="A656:I656"/>
    <mergeCell ref="B651:C651"/>
    <mergeCell ref="B728:C728"/>
    <mergeCell ref="B710:C710"/>
    <mergeCell ref="B703:C703"/>
    <mergeCell ref="B707:C707"/>
    <mergeCell ref="B706:C706"/>
    <mergeCell ref="A720:I720"/>
    <mergeCell ref="A722:I722"/>
    <mergeCell ref="B733:C733"/>
    <mergeCell ref="B732:C732"/>
    <mergeCell ref="A736:I736"/>
    <mergeCell ref="A726:A727"/>
    <mergeCell ref="G726:H726"/>
    <mergeCell ref="B729:C729"/>
    <mergeCell ref="B731:C731"/>
    <mergeCell ref="B730:C730"/>
    <mergeCell ref="B491:C491"/>
    <mergeCell ref="B490:C490"/>
    <mergeCell ref="B481:C481"/>
    <mergeCell ref="B480:C480"/>
    <mergeCell ref="B489:C489"/>
    <mergeCell ref="B488:C488"/>
    <mergeCell ref="B487:C487"/>
    <mergeCell ref="B485:C485"/>
    <mergeCell ref="B484:C484"/>
    <mergeCell ref="B486:C486"/>
    <mergeCell ref="A347:I347"/>
    <mergeCell ref="B418:C419"/>
    <mergeCell ref="A438:I438"/>
    <mergeCell ref="A430:I430"/>
    <mergeCell ref="A433:I433"/>
    <mergeCell ref="A434:I434"/>
    <mergeCell ref="A437:I437"/>
    <mergeCell ref="A429:I429"/>
    <mergeCell ref="A435:I435"/>
    <mergeCell ref="A436:I436"/>
    <mergeCell ref="B114:C114"/>
    <mergeCell ref="B98:C98"/>
    <mergeCell ref="A412:I412"/>
    <mergeCell ref="A413:I413"/>
    <mergeCell ref="A414:I414"/>
    <mergeCell ref="A329:I329"/>
    <mergeCell ref="B337:C337"/>
    <mergeCell ref="B336:C336"/>
    <mergeCell ref="B335:C335"/>
    <mergeCell ref="A366:I366"/>
    <mergeCell ref="B361:C361"/>
    <mergeCell ref="B375:C376"/>
    <mergeCell ref="A72:I72"/>
    <mergeCell ref="A75:I75"/>
    <mergeCell ref="A186:I186"/>
    <mergeCell ref="A78:I78"/>
    <mergeCell ref="A79:I79"/>
    <mergeCell ref="A123:I123"/>
    <mergeCell ref="A83:I83"/>
    <mergeCell ref="B113:C113"/>
    <mergeCell ref="A411:I411"/>
    <mergeCell ref="B362:C362"/>
    <mergeCell ref="A367:I367"/>
    <mergeCell ref="A408:C408"/>
    <mergeCell ref="B403:C403"/>
    <mergeCell ref="B399:C399"/>
    <mergeCell ref="B400:C400"/>
    <mergeCell ref="B401:C401"/>
    <mergeCell ref="B402:C402"/>
    <mergeCell ref="B405:I405"/>
    <mergeCell ref="B255:C255"/>
    <mergeCell ref="B256:C256"/>
    <mergeCell ref="B257:C257"/>
    <mergeCell ref="B258:C258"/>
    <mergeCell ref="B355:C355"/>
    <mergeCell ref="B353:C354"/>
    <mergeCell ref="A349:I349"/>
    <mergeCell ref="B339:C339"/>
    <mergeCell ref="B338:C338"/>
    <mergeCell ref="A346:I346"/>
    <mergeCell ref="B260:C260"/>
    <mergeCell ref="B261:C261"/>
    <mergeCell ref="B262:C262"/>
    <mergeCell ref="B273:C273"/>
    <mergeCell ref="B279:C279"/>
    <mergeCell ref="B280:C280"/>
    <mergeCell ref="B264:C264"/>
    <mergeCell ref="B265:C265"/>
    <mergeCell ref="B275:C275"/>
    <mergeCell ref="B276:C276"/>
    <mergeCell ref="B277:C277"/>
    <mergeCell ref="B278:C278"/>
    <mergeCell ref="B266:C266"/>
    <mergeCell ref="A343:I343"/>
    <mergeCell ref="A344:I344"/>
    <mergeCell ref="A345:I345"/>
    <mergeCell ref="B358:C358"/>
    <mergeCell ref="B357:C357"/>
    <mergeCell ref="A288:I288"/>
    <mergeCell ref="B274:C274"/>
    <mergeCell ref="D292:F292"/>
    <mergeCell ref="B281:C281"/>
    <mergeCell ref="A406:I406"/>
    <mergeCell ref="B397:C397"/>
    <mergeCell ref="B393:C393"/>
    <mergeCell ref="B394:C394"/>
    <mergeCell ref="B398:C398"/>
    <mergeCell ref="B380:C380"/>
    <mergeCell ref="B381:C381"/>
    <mergeCell ref="B391:C391"/>
    <mergeCell ref="B390:C390"/>
    <mergeCell ref="B385:C385"/>
    <mergeCell ref="B392:C392"/>
    <mergeCell ref="B388:C388"/>
    <mergeCell ref="B389:C389"/>
    <mergeCell ref="A84:I84"/>
    <mergeCell ref="A182:I182"/>
    <mergeCell ref="A222:I222"/>
    <mergeCell ref="B224:I224"/>
    <mergeCell ref="A225:I225"/>
    <mergeCell ref="B97:C97"/>
    <mergeCell ref="B102:C102"/>
    <mergeCell ref="A585:I585"/>
    <mergeCell ref="B575:C576"/>
    <mergeCell ref="A561:I561"/>
    <mergeCell ref="B532:C532"/>
    <mergeCell ref="A582:I582"/>
    <mergeCell ref="A583:I583"/>
    <mergeCell ref="B549:C549"/>
    <mergeCell ref="B540:C540"/>
    <mergeCell ref="B541:C541"/>
    <mergeCell ref="B542:C542"/>
    <mergeCell ref="B764:C764"/>
    <mergeCell ref="A586:I586"/>
    <mergeCell ref="B702:C702"/>
    <mergeCell ref="B627:C627"/>
    <mergeCell ref="B626:C626"/>
    <mergeCell ref="A640:I640"/>
    <mergeCell ref="B625:C625"/>
    <mergeCell ref="B663:C663"/>
    <mergeCell ref="A675:I675"/>
    <mergeCell ref="A676:I676"/>
    <mergeCell ref="B760:C760"/>
    <mergeCell ref="B759:C759"/>
    <mergeCell ref="B752:C752"/>
    <mergeCell ref="B758:C758"/>
    <mergeCell ref="B757:C757"/>
    <mergeCell ref="B756:C756"/>
    <mergeCell ref="B751:C751"/>
    <mergeCell ref="B750:C750"/>
    <mergeCell ref="B4:G4"/>
    <mergeCell ref="A80:I80"/>
    <mergeCell ref="A130:A131"/>
    <mergeCell ref="B130:B131"/>
    <mergeCell ref="C128:F128"/>
    <mergeCell ref="A118:I118"/>
    <mergeCell ref="B121:I121"/>
    <mergeCell ref="A122:I122"/>
    <mergeCell ref="B5:G5"/>
    <mergeCell ref="B6:G6"/>
    <mergeCell ref="A76:I76"/>
    <mergeCell ref="B8:G8"/>
    <mergeCell ref="A3:A10"/>
    <mergeCell ref="H3:H10"/>
    <mergeCell ref="A16:I16"/>
    <mergeCell ref="A31:I31"/>
    <mergeCell ref="A33:I33"/>
    <mergeCell ref="A34:I34"/>
    <mergeCell ref="A81:I81"/>
    <mergeCell ref="B82:I82"/>
    <mergeCell ref="A35:I35"/>
    <mergeCell ref="A62:I62"/>
    <mergeCell ref="A77:I77"/>
    <mergeCell ref="A66:I66"/>
    <mergeCell ref="A67:I67"/>
    <mergeCell ref="B73:I73"/>
    <mergeCell ref="A74:I74"/>
    <mergeCell ref="B71:I71"/>
    <mergeCell ref="G130:I130"/>
    <mergeCell ref="A184:I184"/>
    <mergeCell ref="A185:I185"/>
    <mergeCell ref="B217:I217"/>
    <mergeCell ref="B195:B196"/>
    <mergeCell ref="G195:I195"/>
    <mergeCell ref="C193:F193"/>
    <mergeCell ref="A187:I187"/>
    <mergeCell ref="A190:I190"/>
    <mergeCell ref="B191:I191"/>
    <mergeCell ref="A218:I218"/>
    <mergeCell ref="A219:I219"/>
    <mergeCell ref="A233:A234"/>
    <mergeCell ref="A226:I226"/>
    <mergeCell ref="A227:I227"/>
    <mergeCell ref="A228:I228"/>
    <mergeCell ref="A229:I229"/>
    <mergeCell ref="D231:F231"/>
    <mergeCell ref="G233:H233"/>
    <mergeCell ref="D251:F251"/>
    <mergeCell ref="B271:C271"/>
    <mergeCell ref="B272:C272"/>
    <mergeCell ref="B267:C267"/>
    <mergeCell ref="B268:C268"/>
    <mergeCell ref="B269:C269"/>
    <mergeCell ref="B270:C270"/>
    <mergeCell ref="B253:C254"/>
    <mergeCell ref="B259:C259"/>
    <mergeCell ref="B263:C263"/>
    <mergeCell ref="A316:I316"/>
    <mergeCell ref="A317:I317"/>
    <mergeCell ref="B300:C300"/>
    <mergeCell ref="A308:I308"/>
    <mergeCell ref="A306:I306"/>
    <mergeCell ref="A307:I307"/>
    <mergeCell ref="B301:C301"/>
    <mergeCell ref="B296:C296"/>
    <mergeCell ref="A304:I304"/>
    <mergeCell ref="A305:I305"/>
    <mergeCell ref="A318:I318"/>
    <mergeCell ref="A309:I309"/>
    <mergeCell ref="A312:I312"/>
    <mergeCell ref="A313:I313"/>
    <mergeCell ref="A314:I314"/>
    <mergeCell ref="A315:I315"/>
    <mergeCell ref="B299:C299"/>
    <mergeCell ref="B763:C763"/>
    <mergeCell ref="B762:C762"/>
    <mergeCell ref="B792:C792"/>
    <mergeCell ref="B793:C793"/>
    <mergeCell ref="B790:C790"/>
    <mergeCell ref="B789:C789"/>
    <mergeCell ref="B791:C791"/>
    <mergeCell ref="B788:C788"/>
    <mergeCell ref="B787:C787"/>
    <mergeCell ref="B765:C765"/>
    <mergeCell ref="A319:I319"/>
    <mergeCell ref="B755:C755"/>
    <mergeCell ref="B754:C754"/>
    <mergeCell ref="B753:C753"/>
    <mergeCell ref="A320:I320"/>
    <mergeCell ref="A598:I598"/>
    <mergeCell ref="A562:I562"/>
    <mergeCell ref="B726:C727"/>
    <mergeCell ref="B711:C711"/>
    <mergeCell ref="D331:F331"/>
    <mergeCell ref="D373:F373"/>
    <mergeCell ref="D351:F351"/>
    <mergeCell ref="A570:I570"/>
    <mergeCell ref="A575:A576"/>
    <mergeCell ref="A571:I571"/>
    <mergeCell ref="B537:C537"/>
    <mergeCell ref="B544:C544"/>
    <mergeCell ref="B386:C386"/>
    <mergeCell ref="B384:C384"/>
    <mergeCell ref="B483:C483"/>
    <mergeCell ref="B761:C761"/>
    <mergeCell ref="B708:C708"/>
    <mergeCell ref="B323:C323"/>
    <mergeCell ref="A563:I563"/>
    <mergeCell ref="A564:I564"/>
    <mergeCell ref="A569:I569"/>
    <mergeCell ref="B533:C533"/>
    <mergeCell ref="B534:C534"/>
    <mergeCell ref="B535:C535"/>
    <mergeCell ref="B536:C536"/>
  </mergeCells>
  <printOptions verticalCentered="1"/>
  <pageMargins left="0" right="0" top="0" bottom="0" header="0" footer="0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18"/>
  <sheetViews>
    <sheetView tabSelected="1" view="pageBreakPreview" zoomScale="75" zoomScaleNormal="75" zoomScaleSheetLayoutView="75" zoomScalePageLayoutView="0" workbookViewId="0" topLeftCell="A1159">
      <selection activeCell="A1" sqref="A1"/>
    </sheetView>
  </sheetViews>
  <sheetFormatPr defaultColWidth="9.140625" defaultRowHeight="12.75"/>
  <cols>
    <col min="1" max="1" width="12.57421875" style="0" customWidth="1"/>
    <col min="2" max="2" width="41.57421875" style="0" customWidth="1"/>
    <col min="3" max="3" width="17.28125" style="0" customWidth="1"/>
    <col min="4" max="4" width="20.8515625" style="0" customWidth="1"/>
    <col min="5" max="5" width="18.7109375" style="0" customWidth="1"/>
    <col min="6" max="6" width="16.8515625" style="0" customWidth="1"/>
    <col min="7" max="7" width="15.57421875" style="0" customWidth="1"/>
    <col min="8" max="8" width="13.8515625" style="0" customWidth="1"/>
    <col min="9" max="9" width="17.421875" style="0" customWidth="1"/>
    <col min="10" max="10" width="9.7109375" style="0" customWidth="1"/>
    <col min="11" max="11" width="9.28125" style="0" customWidth="1"/>
    <col min="12" max="12" width="11.28125" style="0" customWidth="1"/>
    <col min="17" max="17" width="15.00390625" style="0" customWidth="1"/>
    <col min="19" max="19" width="11.8515625" style="0" customWidth="1"/>
  </cols>
  <sheetData>
    <row r="1" spans="1:9" ht="15">
      <c r="A1" s="126"/>
      <c r="B1" s="127"/>
      <c r="C1" s="127"/>
      <c r="D1" s="127"/>
      <c r="E1" s="127"/>
      <c r="F1" s="127"/>
      <c r="G1" s="127"/>
      <c r="H1" s="127"/>
      <c r="I1" s="127"/>
    </row>
    <row r="2" spans="1:9" ht="15">
      <c r="A2" s="126"/>
      <c r="B2" s="127"/>
      <c r="C2" s="127"/>
      <c r="D2" s="127"/>
      <c r="E2" s="127"/>
      <c r="F2" s="127"/>
      <c r="G2" s="127"/>
      <c r="H2" s="127"/>
      <c r="I2" s="127"/>
    </row>
    <row r="3" spans="1:9" ht="14.25" customHeight="1">
      <c r="A3" s="523" t="s">
        <v>741</v>
      </c>
      <c r="B3" s="124"/>
      <c r="C3" s="128"/>
      <c r="D3" s="128"/>
      <c r="E3" s="128"/>
      <c r="F3" s="128"/>
      <c r="G3" s="128"/>
      <c r="H3" s="525"/>
      <c r="I3" s="128"/>
    </row>
    <row r="4" spans="1:9" ht="20.25" customHeight="1">
      <c r="A4" s="523"/>
      <c r="B4" s="521" t="s">
        <v>742</v>
      </c>
      <c r="C4" s="521"/>
      <c r="D4" s="521"/>
      <c r="E4" s="521"/>
      <c r="F4" s="521"/>
      <c r="G4" s="521"/>
      <c r="H4" s="525"/>
      <c r="I4" s="128"/>
    </row>
    <row r="5" spans="1:9" ht="20.25" customHeight="1">
      <c r="A5" s="523"/>
      <c r="B5" s="521" t="s">
        <v>743</v>
      </c>
      <c r="C5" s="521"/>
      <c r="D5" s="521"/>
      <c r="E5" s="521"/>
      <c r="F5" s="521"/>
      <c r="G5" s="521"/>
      <c r="H5" s="525"/>
      <c r="I5" s="128"/>
    </row>
    <row r="6" spans="1:9" ht="20.25" customHeight="1">
      <c r="A6" s="523"/>
      <c r="B6" s="521" t="s">
        <v>744</v>
      </c>
      <c r="C6" s="521"/>
      <c r="D6" s="521"/>
      <c r="E6" s="521"/>
      <c r="F6" s="521"/>
      <c r="G6" s="521"/>
      <c r="H6" s="525"/>
      <c r="I6" s="128"/>
    </row>
    <row r="7" spans="1:9" ht="14.25" customHeight="1">
      <c r="A7" s="523"/>
      <c r="B7" s="125"/>
      <c r="C7" s="128"/>
      <c r="D7" s="128"/>
      <c r="E7" s="128"/>
      <c r="F7" s="128"/>
      <c r="G7" s="128"/>
      <c r="H7" s="525"/>
      <c r="I7" s="128"/>
    </row>
    <row r="8" spans="1:9" ht="26.25" customHeight="1">
      <c r="A8" s="523"/>
      <c r="B8" s="522" t="s">
        <v>745</v>
      </c>
      <c r="C8" s="522"/>
      <c r="D8" s="522"/>
      <c r="E8" s="522"/>
      <c r="F8" s="522"/>
      <c r="G8" s="522"/>
      <c r="H8" s="525"/>
      <c r="I8" s="128"/>
    </row>
    <row r="9" spans="1:9" ht="15">
      <c r="A9" s="523"/>
      <c r="B9" s="129"/>
      <c r="C9" s="128"/>
      <c r="D9" s="128"/>
      <c r="E9" s="128"/>
      <c r="F9" s="128"/>
      <c r="G9" s="128"/>
      <c r="H9" s="525"/>
      <c r="I9" s="128"/>
    </row>
    <row r="10" spans="1:9" ht="15" customHeight="1" thickBot="1">
      <c r="A10" s="524"/>
      <c r="B10" s="130"/>
      <c r="C10" s="131"/>
      <c r="D10" s="131"/>
      <c r="E10" s="131"/>
      <c r="F10" s="131"/>
      <c r="G10" s="131"/>
      <c r="H10" s="526"/>
      <c r="I10" s="132"/>
    </row>
    <row r="11" spans="1:9" ht="18" customHeight="1">
      <c r="A11" s="118" t="s">
        <v>746</v>
      </c>
      <c r="B11" s="119"/>
      <c r="C11" s="119"/>
      <c r="D11" s="119"/>
      <c r="E11" s="119"/>
      <c r="F11" s="119"/>
      <c r="G11" s="119"/>
      <c r="H11" s="119"/>
      <c r="I11" s="127"/>
    </row>
    <row r="12" spans="1:9" ht="18" customHeight="1">
      <c r="A12" s="118" t="s">
        <v>549</v>
      </c>
      <c r="B12" s="119"/>
      <c r="C12" s="119"/>
      <c r="D12" s="119"/>
      <c r="E12" s="119"/>
      <c r="F12" s="119"/>
      <c r="G12" s="119"/>
      <c r="H12" s="119"/>
      <c r="I12" s="127"/>
    </row>
    <row r="13" spans="1:9" ht="18" customHeight="1">
      <c r="A13" s="118"/>
      <c r="B13" s="119"/>
      <c r="C13" s="119"/>
      <c r="D13" s="119"/>
      <c r="E13" s="119"/>
      <c r="F13" s="119"/>
      <c r="G13" s="119"/>
      <c r="H13" s="119"/>
      <c r="I13" s="127"/>
    </row>
    <row r="14" ht="18.75" customHeight="1">
      <c r="I14" s="127"/>
    </row>
    <row r="15" spans="1:9" ht="18" customHeight="1">
      <c r="A15" s="118"/>
      <c r="B15" s="119"/>
      <c r="C15" s="119"/>
      <c r="D15" s="119"/>
      <c r="E15" s="119"/>
      <c r="F15" s="119"/>
      <c r="G15" s="119"/>
      <c r="H15" s="119"/>
      <c r="I15" s="127"/>
    </row>
    <row r="16" spans="1:9" ht="24.75" customHeight="1">
      <c r="A16" s="519" t="s">
        <v>140</v>
      </c>
      <c r="B16" s="519"/>
      <c r="C16" s="519"/>
      <c r="D16" s="519"/>
      <c r="E16" s="519"/>
      <c r="F16" s="519"/>
      <c r="G16" s="519"/>
      <c r="H16" s="519"/>
      <c r="I16" s="519"/>
    </row>
    <row r="17" spans="1:9" ht="18" customHeight="1">
      <c r="A17" s="127"/>
      <c r="B17" s="127"/>
      <c r="C17" s="127"/>
      <c r="D17" s="127"/>
      <c r="E17" s="127"/>
      <c r="F17" s="127"/>
      <c r="G17" s="127"/>
      <c r="H17" s="127"/>
      <c r="I17" s="127"/>
    </row>
    <row r="18" spans="1:9" ht="18" customHeight="1">
      <c r="A18" s="118"/>
      <c r="B18" s="119"/>
      <c r="C18" s="119"/>
      <c r="D18" s="119"/>
      <c r="E18" s="119"/>
      <c r="F18" s="119"/>
      <c r="G18" s="119"/>
      <c r="H18" s="119"/>
      <c r="I18" s="127"/>
    </row>
    <row r="19" spans="1:9" ht="18" customHeight="1">
      <c r="A19" s="118"/>
      <c r="B19" s="119"/>
      <c r="C19" s="119"/>
      <c r="D19" s="119"/>
      <c r="E19" s="119"/>
      <c r="F19" s="119"/>
      <c r="G19" s="119"/>
      <c r="H19" s="119"/>
      <c r="I19" s="127"/>
    </row>
    <row r="20" spans="1:9" ht="18" customHeight="1">
      <c r="A20" s="118"/>
      <c r="B20" s="119"/>
      <c r="C20" s="119"/>
      <c r="D20" s="119"/>
      <c r="E20" s="119"/>
      <c r="F20" s="119"/>
      <c r="G20" s="119"/>
      <c r="H20" s="119"/>
      <c r="I20" s="127"/>
    </row>
    <row r="21" spans="1:9" ht="18" customHeight="1">
      <c r="A21" s="118"/>
      <c r="B21" s="119"/>
      <c r="C21" s="119"/>
      <c r="D21" s="119"/>
      <c r="E21" s="119"/>
      <c r="F21" s="119"/>
      <c r="G21" s="119"/>
      <c r="H21" s="119"/>
      <c r="I21" s="127"/>
    </row>
    <row r="22" spans="1:9" ht="18" customHeight="1">
      <c r="A22" s="118"/>
      <c r="B22" s="119"/>
      <c r="C22" s="119"/>
      <c r="D22" s="119"/>
      <c r="E22" s="119"/>
      <c r="F22" s="119"/>
      <c r="G22" s="119"/>
      <c r="H22" s="119"/>
      <c r="I22" s="127"/>
    </row>
    <row r="23" spans="1:9" ht="18" customHeight="1">
      <c r="A23" s="118"/>
      <c r="B23" s="119"/>
      <c r="C23" s="119"/>
      <c r="D23" s="119"/>
      <c r="E23" s="119"/>
      <c r="F23" s="119"/>
      <c r="G23" s="119"/>
      <c r="H23" s="119"/>
      <c r="I23" s="127"/>
    </row>
    <row r="24" spans="1:9" ht="18" customHeight="1">
      <c r="A24" s="118"/>
      <c r="B24" s="119"/>
      <c r="C24" s="119"/>
      <c r="D24" s="119"/>
      <c r="E24" s="119"/>
      <c r="F24" s="119"/>
      <c r="G24" s="119"/>
      <c r="H24" s="119"/>
      <c r="I24" s="127"/>
    </row>
    <row r="25" spans="1:9" ht="18" customHeight="1">
      <c r="A25" s="118"/>
      <c r="B25" s="119"/>
      <c r="C25" s="119"/>
      <c r="D25" s="119"/>
      <c r="E25" s="119"/>
      <c r="F25" s="119"/>
      <c r="G25" s="119"/>
      <c r="H25" s="119"/>
      <c r="I25" s="127"/>
    </row>
    <row r="26" spans="1:9" ht="18" customHeight="1">
      <c r="A26" s="118"/>
      <c r="B26" s="119"/>
      <c r="C26" s="119"/>
      <c r="D26" s="119"/>
      <c r="E26" s="119"/>
      <c r="F26" s="119"/>
      <c r="G26" s="119"/>
      <c r="H26" s="119"/>
      <c r="I26" s="127"/>
    </row>
    <row r="27" spans="1:9" ht="18" customHeight="1">
      <c r="A27" s="118"/>
      <c r="B27" s="119"/>
      <c r="C27" s="119"/>
      <c r="D27" s="119"/>
      <c r="E27" s="119"/>
      <c r="F27" s="119"/>
      <c r="G27" s="119"/>
      <c r="H27" s="119"/>
      <c r="I27" s="127"/>
    </row>
    <row r="28" spans="1:9" ht="18" customHeight="1">
      <c r="A28" s="118"/>
      <c r="B28" s="119"/>
      <c r="C28" s="119"/>
      <c r="D28" s="119"/>
      <c r="E28" s="119"/>
      <c r="F28" s="119"/>
      <c r="G28" s="119"/>
      <c r="H28" s="119"/>
      <c r="I28" s="127"/>
    </row>
    <row r="29" spans="1:9" ht="18" customHeight="1">
      <c r="A29" s="118"/>
      <c r="B29" s="119"/>
      <c r="C29" s="119"/>
      <c r="D29" s="119"/>
      <c r="E29" s="119"/>
      <c r="F29" s="119"/>
      <c r="G29" s="119"/>
      <c r="H29" s="119"/>
      <c r="I29" s="127"/>
    </row>
    <row r="30" spans="1:9" ht="18" customHeight="1">
      <c r="A30" s="118"/>
      <c r="B30" s="119"/>
      <c r="C30" s="119"/>
      <c r="D30" s="119"/>
      <c r="E30" s="119"/>
      <c r="F30" s="119"/>
      <c r="G30" s="119"/>
      <c r="H30" s="119"/>
      <c r="I30" s="127"/>
    </row>
    <row r="31" spans="1:9" ht="25.5" customHeight="1">
      <c r="A31" s="527" t="s">
        <v>141</v>
      </c>
      <c r="B31" s="527"/>
      <c r="C31" s="527"/>
      <c r="D31" s="527"/>
      <c r="E31" s="527"/>
      <c r="F31" s="527"/>
      <c r="G31" s="527"/>
      <c r="H31" s="527"/>
      <c r="I31" s="527"/>
    </row>
    <row r="32" spans="1:9" ht="22.5" customHeight="1">
      <c r="A32" s="65"/>
      <c r="B32" s="133"/>
      <c r="C32" s="133"/>
      <c r="D32" s="133"/>
      <c r="E32" s="133"/>
      <c r="F32" s="133"/>
      <c r="G32" s="133"/>
      <c r="H32" s="133"/>
      <c r="I32" s="127"/>
    </row>
    <row r="33" spans="1:9" ht="25.5" customHeight="1">
      <c r="A33" s="519" t="s">
        <v>142</v>
      </c>
      <c r="B33" s="519"/>
      <c r="C33" s="519"/>
      <c r="D33" s="519"/>
      <c r="E33" s="519"/>
      <c r="F33" s="519"/>
      <c r="G33" s="519"/>
      <c r="H33" s="519"/>
      <c r="I33" s="519"/>
    </row>
    <row r="34" spans="1:9" ht="24.75" customHeight="1">
      <c r="A34" s="519" t="s">
        <v>182</v>
      </c>
      <c r="B34" s="519"/>
      <c r="C34" s="519"/>
      <c r="D34" s="519"/>
      <c r="E34" s="519"/>
      <c r="F34" s="519"/>
      <c r="G34" s="519"/>
      <c r="H34" s="519"/>
      <c r="I34" s="519"/>
    </row>
    <row r="35" spans="1:9" ht="25.5" customHeight="1">
      <c r="A35" s="519" t="s">
        <v>655</v>
      </c>
      <c r="B35" s="519"/>
      <c r="C35" s="519"/>
      <c r="D35" s="519"/>
      <c r="E35" s="519"/>
      <c r="F35" s="519"/>
      <c r="G35" s="519"/>
      <c r="H35" s="519"/>
      <c r="I35" s="519"/>
    </row>
    <row r="36" spans="1:9" ht="22.5" customHeight="1">
      <c r="A36" s="65"/>
      <c r="B36" s="133"/>
      <c r="C36" s="133"/>
      <c r="D36" s="133"/>
      <c r="E36" s="133"/>
      <c r="F36" s="133"/>
      <c r="G36" s="133"/>
      <c r="H36" s="133"/>
      <c r="I36" s="127"/>
    </row>
    <row r="37" spans="1:9" ht="18" customHeight="1">
      <c r="A37" s="118"/>
      <c r="B37" s="119"/>
      <c r="C37" s="119"/>
      <c r="D37" s="119"/>
      <c r="E37" s="119"/>
      <c r="F37" s="119"/>
      <c r="G37" s="119"/>
      <c r="H37" s="119"/>
      <c r="I37" s="127"/>
    </row>
    <row r="38" spans="1:9" ht="18" customHeight="1">
      <c r="A38" s="118"/>
      <c r="B38" s="119"/>
      <c r="C38" s="119"/>
      <c r="D38" s="119"/>
      <c r="E38" s="119"/>
      <c r="F38" s="119"/>
      <c r="G38" s="119"/>
      <c r="H38" s="119"/>
      <c r="I38" s="127"/>
    </row>
    <row r="39" spans="1:9" ht="18" customHeight="1">
      <c r="A39" s="118"/>
      <c r="B39" s="119"/>
      <c r="C39" s="119"/>
      <c r="D39" s="119"/>
      <c r="E39" s="119"/>
      <c r="F39" s="119"/>
      <c r="G39" s="119"/>
      <c r="H39" s="119"/>
      <c r="I39" s="127"/>
    </row>
    <row r="40" spans="1:9" ht="18" customHeight="1">
      <c r="A40" s="118"/>
      <c r="B40" s="119"/>
      <c r="C40" s="119"/>
      <c r="D40" s="119"/>
      <c r="E40" s="119"/>
      <c r="F40" s="119"/>
      <c r="G40" s="119"/>
      <c r="H40" s="119"/>
      <c r="I40" s="127"/>
    </row>
    <row r="41" spans="1:9" ht="18" customHeight="1">
      <c r="A41" s="118"/>
      <c r="B41" s="119"/>
      <c r="C41" s="119"/>
      <c r="D41" s="119"/>
      <c r="E41" s="119"/>
      <c r="F41" s="119"/>
      <c r="G41" s="119"/>
      <c r="H41" s="119"/>
      <c r="I41" s="127"/>
    </row>
    <row r="42" spans="1:9" ht="18" customHeight="1">
      <c r="A42" s="118"/>
      <c r="B42" s="119"/>
      <c r="C42" s="119"/>
      <c r="D42" s="119"/>
      <c r="E42" s="119"/>
      <c r="F42" s="119"/>
      <c r="G42" s="119"/>
      <c r="H42" s="119"/>
      <c r="I42" s="127"/>
    </row>
    <row r="43" spans="1:9" ht="18" customHeight="1">
      <c r="A43" s="118"/>
      <c r="B43" s="119"/>
      <c r="C43" s="119"/>
      <c r="D43" s="119"/>
      <c r="E43" s="119"/>
      <c r="F43" s="119"/>
      <c r="G43" s="119"/>
      <c r="H43" s="119"/>
      <c r="I43" s="127"/>
    </row>
    <row r="44" spans="1:9" ht="18" customHeight="1">
      <c r="A44" s="118"/>
      <c r="B44" s="119"/>
      <c r="C44" s="119"/>
      <c r="D44" s="119"/>
      <c r="E44" s="119"/>
      <c r="F44" s="119"/>
      <c r="G44" s="119"/>
      <c r="H44" s="119"/>
      <c r="I44" s="127"/>
    </row>
    <row r="45" spans="1:9" ht="18" customHeight="1">
      <c r="A45" s="118"/>
      <c r="B45" s="119"/>
      <c r="C45" s="119"/>
      <c r="D45" s="119"/>
      <c r="E45" s="119"/>
      <c r="F45" s="119"/>
      <c r="G45" s="119"/>
      <c r="H45" s="119"/>
      <c r="I45" s="127"/>
    </row>
    <row r="46" spans="1:9" ht="18" customHeight="1">
      <c r="A46" s="118"/>
      <c r="B46" s="119"/>
      <c r="C46" s="119"/>
      <c r="D46" s="119"/>
      <c r="E46" s="119"/>
      <c r="F46" s="119"/>
      <c r="G46" s="119"/>
      <c r="H46" s="119"/>
      <c r="I46" s="127"/>
    </row>
    <row r="47" spans="1:9" ht="18" customHeight="1">
      <c r="A47" s="118"/>
      <c r="B47" s="119"/>
      <c r="C47" s="119"/>
      <c r="D47" s="119"/>
      <c r="E47" s="119"/>
      <c r="F47" s="119"/>
      <c r="G47" s="119"/>
      <c r="H47" s="119"/>
      <c r="I47" s="127"/>
    </row>
    <row r="48" spans="1:9" ht="18" customHeight="1">
      <c r="A48" s="118"/>
      <c r="B48" s="119"/>
      <c r="C48" s="119"/>
      <c r="D48" s="119"/>
      <c r="E48" s="119"/>
      <c r="F48" s="119"/>
      <c r="G48" s="119"/>
      <c r="H48" s="119"/>
      <c r="I48" s="127"/>
    </row>
    <row r="49" spans="1:9" ht="18" customHeight="1">
      <c r="A49" s="118"/>
      <c r="B49" s="119"/>
      <c r="C49" s="119"/>
      <c r="D49" s="119"/>
      <c r="E49" s="119"/>
      <c r="F49" s="119"/>
      <c r="G49" s="119"/>
      <c r="H49" s="119"/>
      <c r="I49" s="127"/>
    </row>
    <row r="50" spans="1:9" ht="18" customHeight="1">
      <c r="A50" s="118"/>
      <c r="B50" s="119"/>
      <c r="C50" s="119"/>
      <c r="D50" s="119"/>
      <c r="E50" s="119"/>
      <c r="F50" s="119"/>
      <c r="G50" s="119"/>
      <c r="H50" s="119"/>
      <c r="I50" s="127"/>
    </row>
    <row r="51" spans="1:9" ht="18" customHeight="1">
      <c r="A51" s="118"/>
      <c r="B51" s="119"/>
      <c r="C51" s="119"/>
      <c r="D51" s="119"/>
      <c r="E51" s="119"/>
      <c r="F51" s="119"/>
      <c r="G51" s="119"/>
      <c r="H51" s="119"/>
      <c r="I51" s="127"/>
    </row>
    <row r="52" spans="1:9" ht="18" customHeight="1">
      <c r="A52" s="118"/>
      <c r="B52" s="119"/>
      <c r="C52" s="119"/>
      <c r="D52" s="119"/>
      <c r="E52" s="119"/>
      <c r="F52" s="119"/>
      <c r="G52" s="119"/>
      <c r="H52" s="119"/>
      <c r="I52" s="127"/>
    </row>
    <row r="53" spans="1:9" ht="18" customHeight="1">
      <c r="A53" s="119"/>
      <c r="B53" s="119"/>
      <c r="C53" s="119"/>
      <c r="D53" s="119"/>
      <c r="E53" s="119"/>
      <c r="F53" s="119"/>
      <c r="G53" s="119"/>
      <c r="H53" s="119"/>
      <c r="I53" s="127"/>
    </row>
    <row r="54" spans="1:9" ht="18" customHeight="1">
      <c r="A54" s="119"/>
      <c r="B54" s="119"/>
      <c r="C54" s="119"/>
      <c r="D54" s="119"/>
      <c r="E54" s="119"/>
      <c r="F54" s="119"/>
      <c r="G54" s="119"/>
      <c r="H54" s="119"/>
      <c r="I54" s="127"/>
    </row>
    <row r="55" spans="1:9" ht="18" customHeight="1">
      <c r="A55" s="127"/>
      <c r="B55" s="127"/>
      <c r="C55" s="127"/>
      <c r="D55" s="127"/>
      <c r="E55" s="127"/>
      <c r="F55" s="127"/>
      <c r="G55" s="127"/>
      <c r="H55" s="127"/>
      <c r="I55" s="127"/>
    </row>
    <row r="56" spans="1:9" ht="18" customHeight="1">
      <c r="A56" s="118"/>
      <c r="B56" s="119"/>
      <c r="C56" s="119"/>
      <c r="D56" s="119"/>
      <c r="E56" s="119"/>
      <c r="F56" s="119"/>
      <c r="G56" s="119"/>
      <c r="H56" s="119"/>
      <c r="I56" s="127"/>
    </row>
    <row r="57" spans="1:9" ht="18" customHeight="1">
      <c r="A57" s="118"/>
      <c r="B57" s="119"/>
      <c r="C57" s="119"/>
      <c r="D57" s="119"/>
      <c r="E57" s="119"/>
      <c r="F57" s="119"/>
      <c r="G57" s="119"/>
      <c r="H57" s="119"/>
      <c r="I57" s="127"/>
    </row>
    <row r="58" spans="1:9" ht="18" customHeight="1">
      <c r="A58" s="118"/>
      <c r="B58" s="119"/>
      <c r="C58" s="119"/>
      <c r="D58" s="119"/>
      <c r="E58" s="119"/>
      <c r="F58" s="119"/>
      <c r="G58" s="119"/>
      <c r="H58" s="119"/>
      <c r="I58" s="127"/>
    </row>
    <row r="59" spans="1:9" ht="22.5" customHeight="1">
      <c r="A59" s="127"/>
      <c r="B59" s="127"/>
      <c r="C59" s="127"/>
      <c r="D59" s="127"/>
      <c r="E59" s="127"/>
      <c r="F59" s="127"/>
      <c r="G59" s="127"/>
      <c r="H59" s="127"/>
      <c r="I59" s="127"/>
    </row>
    <row r="60" spans="1:9" ht="18" customHeight="1">
      <c r="A60" s="118"/>
      <c r="B60" s="119"/>
      <c r="C60" s="119"/>
      <c r="D60" s="119"/>
      <c r="E60" s="119"/>
      <c r="F60" s="119"/>
      <c r="G60" s="119"/>
      <c r="H60" s="119"/>
      <c r="I60" s="127"/>
    </row>
    <row r="61" spans="1:9" ht="27" customHeight="1">
      <c r="A61" s="127"/>
      <c r="B61" s="127"/>
      <c r="C61" s="127"/>
      <c r="D61" s="127"/>
      <c r="E61" s="127"/>
      <c r="F61" s="127"/>
      <c r="G61" s="127"/>
      <c r="H61" s="127"/>
      <c r="I61" s="127"/>
    </row>
    <row r="62" spans="1:9" ht="27" customHeight="1">
      <c r="A62" s="520" t="s">
        <v>535</v>
      </c>
      <c r="B62" s="520"/>
      <c r="C62" s="520"/>
      <c r="D62" s="520"/>
      <c r="E62" s="520"/>
      <c r="F62" s="520"/>
      <c r="G62" s="520"/>
      <c r="H62" s="520"/>
      <c r="I62" s="520"/>
    </row>
    <row r="63" spans="1:9" ht="20.25" customHeight="1">
      <c r="A63" s="65"/>
      <c r="B63" s="65"/>
      <c r="C63" s="65"/>
      <c r="D63" s="65"/>
      <c r="E63" s="65"/>
      <c r="F63" s="65"/>
      <c r="G63" s="65"/>
      <c r="H63" s="65"/>
      <c r="I63" s="127"/>
    </row>
    <row r="64" spans="1:9" ht="20.25" customHeight="1">
      <c r="A64" s="65"/>
      <c r="B64" s="65"/>
      <c r="C64" s="65"/>
      <c r="D64" s="65"/>
      <c r="E64" s="65"/>
      <c r="F64" s="65"/>
      <c r="G64" s="65"/>
      <c r="H64" s="65"/>
      <c r="I64" s="127"/>
    </row>
    <row r="65" ht="20.25" customHeight="1"/>
    <row r="66" ht="23.25" customHeight="1"/>
    <row r="67" ht="20.25" customHeight="1"/>
    <row r="68" ht="20.25" customHeight="1"/>
    <row r="69" ht="20.25" customHeight="1"/>
    <row r="70" ht="20.25" customHeight="1"/>
    <row r="71" ht="20.25" customHeight="1"/>
    <row r="72" spans="2:8" ht="37.5" customHeight="1">
      <c r="B72" s="482" t="s">
        <v>633</v>
      </c>
      <c r="C72" s="135"/>
      <c r="D72" s="135"/>
      <c r="E72" s="135"/>
      <c r="F72" s="135"/>
      <c r="G72" s="135"/>
      <c r="H72" s="135"/>
    </row>
    <row r="73" spans="2:8" ht="32.25" customHeight="1">
      <c r="B73" s="467"/>
      <c r="C73" s="135"/>
      <c r="D73" s="135"/>
      <c r="E73" s="135"/>
      <c r="F73" s="135"/>
      <c r="G73" s="135"/>
      <c r="H73" s="135"/>
    </row>
    <row r="74" spans="2:8" ht="20.25" customHeight="1">
      <c r="B74" s="135"/>
      <c r="C74" s="135"/>
      <c r="D74" s="135"/>
      <c r="E74" s="135"/>
      <c r="F74" s="135"/>
      <c r="G74" s="135"/>
      <c r="H74" s="135"/>
    </row>
    <row r="75" spans="1:8" ht="30" customHeight="1">
      <c r="A75" s="465"/>
      <c r="B75" s="676" t="s">
        <v>634</v>
      </c>
      <c r="C75" s="676"/>
      <c r="D75" s="676"/>
      <c r="E75" s="676"/>
      <c r="F75" s="676"/>
      <c r="G75" s="676"/>
      <c r="H75" s="676" t="s">
        <v>635</v>
      </c>
    </row>
    <row r="76" spans="1:8" ht="30" customHeight="1">
      <c r="A76" s="465"/>
      <c r="B76" s="676"/>
      <c r="C76" s="676"/>
      <c r="D76" s="676"/>
      <c r="E76" s="676"/>
      <c r="F76" s="676"/>
      <c r="G76" s="676"/>
      <c r="H76" s="676"/>
    </row>
    <row r="77" spans="1:8" ht="20.25" customHeight="1">
      <c r="A77" s="463"/>
      <c r="B77" s="517"/>
      <c r="C77" s="517"/>
      <c r="D77" s="517"/>
      <c r="E77" s="517"/>
      <c r="F77" s="517"/>
      <c r="G77" s="517"/>
      <c r="H77" s="280"/>
    </row>
    <row r="78" spans="1:9" ht="23.25" customHeight="1">
      <c r="A78" s="202"/>
      <c r="B78" s="589" t="s">
        <v>875</v>
      </c>
      <c r="C78" s="589"/>
      <c r="D78" s="589"/>
      <c r="E78" s="589"/>
      <c r="F78" s="589"/>
      <c r="G78" s="589"/>
      <c r="H78" s="468">
        <v>1</v>
      </c>
      <c r="I78" s="462"/>
    </row>
    <row r="79" spans="1:9" ht="23.25" customHeight="1">
      <c r="A79" s="202"/>
      <c r="B79" s="467" t="s">
        <v>804</v>
      </c>
      <c r="C79" s="467"/>
      <c r="D79" s="467"/>
      <c r="E79" s="467"/>
      <c r="F79" s="467"/>
      <c r="G79" s="467"/>
      <c r="H79" s="468" t="s">
        <v>831</v>
      </c>
      <c r="I79" s="462"/>
    </row>
    <row r="80" spans="1:9" ht="23.25" customHeight="1">
      <c r="A80" s="202"/>
      <c r="B80" s="467" t="s">
        <v>805</v>
      </c>
      <c r="C80" s="467"/>
      <c r="D80" s="467"/>
      <c r="E80" s="467"/>
      <c r="F80" s="467"/>
      <c r="G80" s="467"/>
      <c r="H80" s="468" t="s">
        <v>832</v>
      </c>
      <c r="I80" s="462"/>
    </row>
    <row r="81" spans="1:9" ht="23.25" customHeight="1">
      <c r="A81" s="202"/>
      <c r="B81" s="467" t="s">
        <v>806</v>
      </c>
      <c r="C81" s="467"/>
      <c r="D81" s="467"/>
      <c r="E81" s="467"/>
      <c r="F81" s="467"/>
      <c r="G81" s="467"/>
      <c r="H81" s="468">
        <v>16</v>
      </c>
      <c r="I81" s="462"/>
    </row>
    <row r="82" spans="1:11" ht="23.25" customHeight="1">
      <c r="A82" s="202"/>
      <c r="B82" s="467" t="s">
        <v>807</v>
      </c>
      <c r="C82" s="467"/>
      <c r="D82" s="467"/>
      <c r="E82" s="467"/>
      <c r="F82" s="467"/>
      <c r="G82" s="467"/>
      <c r="H82" s="468" t="s">
        <v>833</v>
      </c>
      <c r="I82" s="462"/>
      <c r="K82" s="466"/>
    </row>
    <row r="83" spans="1:9" ht="23.25" customHeight="1">
      <c r="A83" s="202"/>
      <c r="B83" s="467" t="s">
        <v>808</v>
      </c>
      <c r="C83" s="467"/>
      <c r="D83" s="467"/>
      <c r="E83" s="467"/>
      <c r="F83" s="467"/>
      <c r="G83" s="467"/>
      <c r="H83" s="468" t="s">
        <v>873</v>
      </c>
      <c r="I83" s="462"/>
    </row>
    <row r="84" spans="1:9" ht="23.25" customHeight="1">
      <c r="A84" s="202"/>
      <c r="B84" s="467" t="s">
        <v>809</v>
      </c>
      <c r="C84" s="467"/>
      <c r="D84" s="467"/>
      <c r="E84" s="467"/>
      <c r="F84" s="467"/>
      <c r="G84" s="467"/>
      <c r="H84" s="468">
        <v>20</v>
      </c>
      <c r="I84" s="462"/>
    </row>
    <row r="85" spans="1:9" ht="23.25" customHeight="1">
      <c r="A85" s="202"/>
      <c r="B85" s="467" t="s">
        <v>810</v>
      </c>
      <c r="C85" s="467"/>
      <c r="D85" s="467"/>
      <c r="E85" s="467"/>
      <c r="F85" s="467"/>
      <c r="G85" s="467"/>
      <c r="H85" s="468">
        <v>21</v>
      </c>
      <c r="I85" s="462"/>
    </row>
    <row r="86" spans="1:9" ht="23.25" customHeight="1">
      <c r="A86" s="202"/>
      <c r="B86" s="467" t="s">
        <v>811</v>
      </c>
      <c r="C86" s="467"/>
      <c r="D86" s="467"/>
      <c r="E86" s="467"/>
      <c r="F86" s="467"/>
      <c r="G86" s="467"/>
      <c r="H86" s="468">
        <v>22</v>
      </c>
      <c r="I86" s="462"/>
    </row>
    <row r="87" spans="1:9" ht="23.25" customHeight="1">
      <c r="A87" s="202"/>
      <c r="B87" s="467" t="s">
        <v>812</v>
      </c>
      <c r="C87" s="467"/>
      <c r="D87" s="467"/>
      <c r="E87" s="467"/>
      <c r="F87" s="467"/>
      <c r="G87" s="467"/>
      <c r="H87" s="468" t="s">
        <v>834</v>
      </c>
      <c r="I87" s="462"/>
    </row>
    <row r="88" spans="1:9" ht="23.25" customHeight="1">
      <c r="A88" s="202"/>
      <c r="B88" s="467" t="s">
        <v>813</v>
      </c>
      <c r="C88" s="467"/>
      <c r="D88" s="467"/>
      <c r="E88" s="467"/>
      <c r="F88" s="467"/>
      <c r="G88" s="467"/>
      <c r="H88" s="468">
        <v>25</v>
      </c>
      <c r="I88" s="462"/>
    </row>
    <row r="89" spans="1:9" ht="23.25" customHeight="1">
      <c r="A89" s="202"/>
      <c r="B89" s="467" t="s">
        <v>874</v>
      </c>
      <c r="C89" s="467"/>
      <c r="D89" s="467"/>
      <c r="E89" s="467"/>
      <c r="F89" s="467"/>
      <c r="G89" s="467"/>
      <c r="H89" s="468">
        <v>26</v>
      </c>
      <c r="I89" s="462"/>
    </row>
    <row r="90" spans="1:9" ht="23.25" customHeight="1">
      <c r="A90" s="202"/>
      <c r="B90" s="467" t="s">
        <v>814</v>
      </c>
      <c r="C90" s="467"/>
      <c r="D90" s="467"/>
      <c r="E90" s="467"/>
      <c r="F90" s="467"/>
      <c r="G90" s="467"/>
      <c r="H90" s="468" t="s">
        <v>835</v>
      </c>
      <c r="I90" s="462"/>
    </row>
    <row r="91" spans="1:9" ht="23.25" customHeight="1">
      <c r="A91" s="202"/>
      <c r="B91" s="467" t="s">
        <v>815</v>
      </c>
      <c r="C91" s="467"/>
      <c r="D91" s="467"/>
      <c r="E91" s="467"/>
      <c r="F91" s="467"/>
      <c r="G91" s="467"/>
      <c r="H91" s="468" t="s">
        <v>836</v>
      </c>
      <c r="I91" s="462"/>
    </row>
    <row r="92" spans="1:9" ht="23.25" customHeight="1">
      <c r="A92" s="202"/>
      <c r="B92" s="467" t="s">
        <v>816</v>
      </c>
      <c r="C92" s="467"/>
      <c r="D92" s="467"/>
      <c r="E92" s="467"/>
      <c r="F92" s="467"/>
      <c r="G92" s="467"/>
      <c r="H92" s="468" t="s">
        <v>837</v>
      </c>
      <c r="I92" s="462"/>
    </row>
    <row r="93" spans="1:9" ht="23.25" customHeight="1">
      <c r="A93" s="202"/>
      <c r="B93" s="467" t="s">
        <v>817</v>
      </c>
      <c r="C93" s="467"/>
      <c r="D93" s="467"/>
      <c r="E93" s="467"/>
      <c r="F93" s="467"/>
      <c r="G93" s="467"/>
      <c r="H93" s="468">
        <v>33</v>
      </c>
      <c r="I93" s="462"/>
    </row>
    <row r="94" spans="1:9" ht="23.25" customHeight="1">
      <c r="A94" s="202"/>
      <c r="B94" s="467" t="s">
        <v>876</v>
      </c>
      <c r="C94" s="467"/>
      <c r="D94" s="467"/>
      <c r="E94" s="467"/>
      <c r="F94" s="467"/>
      <c r="G94" s="467"/>
      <c r="H94" s="468">
        <v>34</v>
      </c>
      <c r="I94" s="462"/>
    </row>
    <row r="95" spans="1:9" ht="23.25" customHeight="1">
      <c r="A95" s="202"/>
      <c r="B95" s="467" t="s">
        <v>818</v>
      </c>
      <c r="C95" s="467"/>
      <c r="D95" s="467"/>
      <c r="E95" s="467"/>
      <c r="F95" s="467"/>
      <c r="G95" s="467"/>
      <c r="H95" s="468">
        <v>35</v>
      </c>
      <c r="I95" s="462"/>
    </row>
    <row r="96" spans="1:9" ht="23.25" customHeight="1">
      <c r="A96" s="202"/>
      <c r="B96" s="467" t="s">
        <v>819</v>
      </c>
      <c r="C96" s="467"/>
      <c r="D96" s="467"/>
      <c r="E96" s="467"/>
      <c r="F96" s="467"/>
      <c r="G96" s="467"/>
      <c r="H96" s="468">
        <v>36</v>
      </c>
      <c r="I96" s="462"/>
    </row>
    <row r="97" spans="1:9" ht="23.25" customHeight="1">
      <c r="A97" s="202"/>
      <c r="B97" s="467" t="s">
        <v>820</v>
      </c>
      <c r="C97" s="467"/>
      <c r="D97" s="467"/>
      <c r="E97" s="467"/>
      <c r="F97" s="467"/>
      <c r="G97" s="467"/>
      <c r="H97" s="468">
        <v>37</v>
      </c>
      <c r="I97" s="462"/>
    </row>
    <row r="98" spans="1:9" ht="23.25" customHeight="1">
      <c r="A98" s="202"/>
      <c r="B98" s="467" t="s">
        <v>821</v>
      </c>
      <c r="C98" s="467"/>
      <c r="D98" s="467"/>
      <c r="E98" s="467"/>
      <c r="F98" s="467"/>
      <c r="G98" s="467"/>
      <c r="H98" s="468">
        <v>38</v>
      </c>
      <c r="I98" s="462"/>
    </row>
    <row r="99" spans="1:9" ht="23.25" customHeight="1">
      <c r="A99" s="202"/>
      <c r="B99" s="467" t="s">
        <v>822</v>
      </c>
      <c r="C99" s="467"/>
      <c r="D99" s="467"/>
      <c r="E99" s="467"/>
      <c r="F99" s="467"/>
      <c r="G99" s="467"/>
      <c r="H99" s="468">
        <v>39</v>
      </c>
      <c r="I99" s="462"/>
    </row>
    <row r="100" spans="1:9" ht="23.25" customHeight="1">
      <c r="A100" s="202"/>
      <c r="B100" s="589" t="s">
        <v>823</v>
      </c>
      <c r="C100" s="589"/>
      <c r="D100" s="589"/>
      <c r="E100" s="589"/>
      <c r="F100" s="589"/>
      <c r="G100" s="589"/>
      <c r="H100" s="468">
        <v>40</v>
      </c>
      <c r="I100" s="462"/>
    </row>
    <row r="101" spans="1:9" ht="23.25" customHeight="1">
      <c r="A101" s="202"/>
      <c r="B101" s="589" t="s">
        <v>824</v>
      </c>
      <c r="C101" s="589"/>
      <c r="D101" s="589"/>
      <c r="E101" s="589"/>
      <c r="F101" s="589"/>
      <c r="G101" s="589"/>
      <c r="H101" s="468">
        <v>41</v>
      </c>
      <c r="I101" s="462"/>
    </row>
    <row r="102" spans="1:9" ht="23.25" customHeight="1">
      <c r="A102" s="202"/>
      <c r="B102" s="589" t="s">
        <v>825</v>
      </c>
      <c r="C102" s="589"/>
      <c r="D102" s="589"/>
      <c r="E102" s="589"/>
      <c r="F102" s="589"/>
      <c r="G102" s="589"/>
      <c r="H102" s="468">
        <v>42</v>
      </c>
      <c r="I102" s="462"/>
    </row>
    <row r="103" spans="1:9" ht="23.25" customHeight="1">
      <c r="A103" s="202"/>
      <c r="B103" s="141"/>
      <c r="C103" s="141"/>
      <c r="D103" s="141"/>
      <c r="E103" s="141"/>
      <c r="F103" s="141"/>
      <c r="G103" s="141"/>
      <c r="H103" s="141"/>
      <c r="I103" s="462"/>
    </row>
    <row r="104" spans="1:9" ht="23.25" customHeight="1">
      <c r="A104" s="202"/>
      <c r="B104" s="469" t="s">
        <v>826</v>
      </c>
      <c r="C104" s="469"/>
      <c r="D104" s="469"/>
      <c r="E104" s="469"/>
      <c r="F104" s="469"/>
      <c r="G104" s="469"/>
      <c r="H104" s="469"/>
      <c r="I104" s="470"/>
    </row>
    <row r="105" spans="1:9" ht="23.25" customHeight="1">
      <c r="A105" s="202"/>
      <c r="B105" s="141"/>
      <c r="C105" s="141"/>
      <c r="D105" s="141"/>
      <c r="E105" s="141"/>
      <c r="F105" s="141"/>
      <c r="G105" s="141"/>
      <c r="H105" s="141"/>
      <c r="I105" s="462"/>
    </row>
    <row r="106" spans="1:9" ht="20.25" customHeight="1">
      <c r="A106" s="202"/>
      <c r="B106" s="141"/>
      <c r="C106" s="141"/>
      <c r="D106" s="141"/>
      <c r="E106" s="141"/>
      <c r="F106" s="141"/>
      <c r="G106" s="141"/>
      <c r="H106" s="141"/>
      <c r="I106" s="462"/>
    </row>
    <row r="107" spans="1:9" ht="20.25" customHeight="1">
      <c r="A107" s="202"/>
      <c r="B107" s="141" t="s">
        <v>549</v>
      </c>
      <c r="C107" s="141"/>
      <c r="D107" s="141"/>
      <c r="E107" s="141"/>
      <c r="F107" s="141"/>
      <c r="G107" s="141"/>
      <c r="H107" s="141"/>
      <c r="I107" s="462"/>
    </row>
    <row r="108" spans="1:9" ht="20.25" customHeight="1">
      <c r="A108" s="202"/>
      <c r="B108" s="141"/>
      <c r="C108" s="141"/>
      <c r="D108" s="141"/>
      <c r="E108" s="141"/>
      <c r="F108" s="141"/>
      <c r="G108" s="141"/>
      <c r="H108" s="141"/>
      <c r="I108" s="462"/>
    </row>
    <row r="109" spans="1:9" ht="20.25" customHeight="1">
      <c r="A109" s="202"/>
      <c r="B109" s="141"/>
      <c r="C109" s="141"/>
      <c r="D109" s="141"/>
      <c r="E109" s="141"/>
      <c r="F109" s="141"/>
      <c r="G109" s="141"/>
      <c r="H109" s="141"/>
      <c r="I109" s="462"/>
    </row>
    <row r="110" spans="1:9" ht="20.25" customHeight="1">
      <c r="A110" s="202"/>
      <c r="B110" s="141"/>
      <c r="C110" s="141"/>
      <c r="D110" s="141"/>
      <c r="E110" s="141"/>
      <c r="F110" s="141"/>
      <c r="G110" s="141"/>
      <c r="H110" s="141"/>
      <c r="I110" s="462"/>
    </row>
    <row r="111" spans="1:9" ht="20.25" customHeight="1">
      <c r="A111" s="202"/>
      <c r="B111" s="141"/>
      <c r="C111" s="141"/>
      <c r="D111" s="141"/>
      <c r="E111" s="141"/>
      <c r="F111" s="141"/>
      <c r="G111" s="141"/>
      <c r="H111" s="141"/>
      <c r="I111" s="462"/>
    </row>
    <row r="112" spans="1:9" ht="20.25" customHeight="1">
      <c r="A112" s="202"/>
      <c r="B112" s="462"/>
      <c r="C112" s="462"/>
      <c r="D112" s="462"/>
      <c r="E112" s="462"/>
      <c r="F112" s="462"/>
      <c r="G112" s="462"/>
      <c r="H112" s="462"/>
      <c r="I112" s="462"/>
    </row>
    <row r="113" spans="1:9" ht="20.25" customHeight="1">
      <c r="A113" s="202"/>
      <c r="B113" s="202"/>
      <c r="C113" s="202"/>
      <c r="D113" s="202"/>
      <c r="E113" s="202"/>
      <c r="F113" s="202"/>
      <c r="G113" s="202"/>
      <c r="H113" s="202"/>
      <c r="I113" s="202"/>
    </row>
    <row r="114" spans="1:9" ht="20.25" customHeight="1">
      <c r="A114" s="202"/>
      <c r="B114" s="202"/>
      <c r="C114" s="202"/>
      <c r="D114" s="202"/>
      <c r="E114" s="202"/>
      <c r="F114" s="202"/>
      <c r="G114" s="202"/>
      <c r="H114" s="202"/>
      <c r="I114" s="202"/>
    </row>
    <row r="115" spans="1:9" ht="20.25" customHeight="1">
      <c r="A115" s="202"/>
      <c r="B115" s="202"/>
      <c r="C115" s="202"/>
      <c r="D115" s="202"/>
      <c r="E115" s="202"/>
      <c r="F115" s="202"/>
      <c r="G115" s="202"/>
      <c r="H115" s="202"/>
      <c r="I115" s="202"/>
    </row>
    <row r="116" spans="1:9" ht="20.25" customHeight="1">
      <c r="A116" s="202"/>
      <c r="B116" s="202"/>
      <c r="C116" s="202"/>
      <c r="D116" s="202"/>
      <c r="E116" s="202"/>
      <c r="F116" s="202"/>
      <c r="G116" s="202"/>
      <c r="H116" s="202"/>
      <c r="I116" s="202"/>
    </row>
    <row r="117" spans="1:9" ht="20.25" customHeight="1">
      <c r="A117" s="202"/>
      <c r="B117" s="202"/>
      <c r="C117" s="202"/>
      <c r="D117" s="202"/>
      <c r="E117" s="202"/>
      <c r="F117" s="202"/>
      <c r="G117" s="202"/>
      <c r="H117" s="202"/>
      <c r="I117" s="202"/>
    </row>
    <row r="118" spans="1:9" ht="20.25" customHeight="1">
      <c r="A118" s="202"/>
      <c r="B118" s="202"/>
      <c r="C118" s="202"/>
      <c r="D118" s="202"/>
      <c r="E118" s="202"/>
      <c r="F118" s="202"/>
      <c r="G118" s="202"/>
      <c r="H118" s="202"/>
      <c r="I118" s="202"/>
    </row>
    <row r="119" ht="20.25" customHeight="1"/>
    <row r="120" ht="20.25" customHeight="1"/>
    <row r="121" ht="20.25" customHeight="1"/>
    <row r="122" ht="20.25" customHeight="1"/>
    <row r="123" ht="20.25" customHeight="1">
      <c r="I123" s="443"/>
    </row>
    <row r="124" spans="1:9" ht="23.25" customHeight="1">
      <c r="A124" s="134"/>
      <c r="B124" s="134"/>
      <c r="C124" s="134"/>
      <c r="D124" s="134"/>
      <c r="E124" s="134"/>
      <c r="F124" s="134"/>
      <c r="G124" s="134"/>
      <c r="H124" s="134"/>
      <c r="I124" s="135"/>
    </row>
    <row r="125" spans="1:9" ht="23.25" customHeight="1">
      <c r="A125" s="134"/>
      <c r="B125" s="134"/>
      <c r="C125" s="134"/>
      <c r="D125" s="134"/>
      <c r="E125" s="134"/>
      <c r="F125" s="134"/>
      <c r="G125" s="134"/>
      <c r="H125" s="134"/>
      <c r="I125" s="135"/>
    </row>
    <row r="126" spans="1:9" ht="23.25" customHeight="1">
      <c r="A126" s="134"/>
      <c r="B126" s="134"/>
      <c r="C126" s="134"/>
      <c r="D126" s="134"/>
      <c r="E126" s="134"/>
      <c r="F126" s="134"/>
      <c r="G126" s="134"/>
      <c r="H126" s="134"/>
      <c r="I126" s="135"/>
    </row>
    <row r="127" spans="1:9" ht="23.25" customHeight="1">
      <c r="A127" s="134"/>
      <c r="B127" s="134"/>
      <c r="C127" s="134"/>
      <c r="D127" s="134"/>
      <c r="E127" s="134"/>
      <c r="F127" s="134"/>
      <c r="G127" s="134"/>
      <c r="H127" s="134"/>
      <c r="I127" s="135"/>
    </row>
    <row r="128" spans="1:9" ht="23.25" customHeight="1">
      <c r="A128" s="134"/>
      <c r="B128" s="134"/>
      <c r="C128" s="134"/>
      <c r="D128" s="134"/>
      <c r="E128" s="134"/>
      <c r="F128" s="134"/>
      <c r="G128" s="134"/>
      <c r="H128" s="134"/>
      <c r="I128" s="135"/>
    </row>
    <row r="129" spans="1:9" ht="39" customHeight="1">
      <c r="A129" s="520" t="s">
        <v>17</v>
      </c>
      <c r="B129" s="520"/>
      <c r="C129" s="520"/>
      <c r="D129" s="520"/>
      <c r="E129" s="520"/>
      <c r="F129" s="520"/>
      <c r="G129" s="520"/>
      <c r="H129" s="520"/>
      <c r="I129" s="520"/>
    </row>
    <row r="130" spans="1:9" ht="42.75" customHeight="1">
      <c r="A130" s="520" t="s">
        <v>1048</v>
      </c>
      <c r="B130" s="520"/>
      <c r="C130" s="520"/>
      <c r="D130" s="520"/>
      <c r="E130" s="520"/>
      <c r="F130" s="520"/>
      <c r="G130" s="520"/>
      <c r="H130" s="520"/>
      <c r="I130" s="520"/>
    </row>
    <row r="131" spans="1:9" ht="23.25" customHeight="1">
      <c r="A131" s="135"/>
      <c r="B131" s="135"/>
      <c r="C131" s="135"/>
      <c r="D131" s="135"/>
      <c r="E131" s="135"/>
      <c r="F131" s="135"/>
      <c r="G131" s="135"/>
      <c r="H131" s="135"/>
      <c r="I131" s="135"/>
    </row>
    <row r="132" spans="1:9" ht="23.25" customHeight="1">
      <c r="A132" s="135"/>
      <c r="B132" s="135"/>
      <c r="C132" s="135"/>
      <c r="D132" s="135"/>
      <c r="E132" s="135"/>
      <c r="F132" s="135"/>
      <c r="G132" s="135"/>
      <c r="H132" s="135"/>
      <c r="I132" s="135"/>
    </row>
    <row r="133" spans="1:9" ht="19.5" customHeight="1">
      <c r="A133" s="136"/>
      <c r="B133" s="137"/>
      <c r="C133" s="137"/>
      <c r="D133" s="137"/>
      <c r="E133" s="137"/>
      <c r="F133" s="137"/>
      <c r="G133" s="137"/>
      <c r="H133" s="137"/>
      <c r="I133" s="138"/>
    </row>
    <row r="134" spans="1:9" ht="19.5" customHeight="1">
      <c r="A134" s="139"/>
      <c r="B134" s="515" t="s">
        <v>202</v>
      </c>
      <c r="C134" s="515"/>
      <c r="D134" s="515"/>
      <c r="E134" s="515"/>
      <c r="F134" s="515"/>
      <c r="G134" s="515"/>
      <c r="H134" s="515"/>
      <c r="I134" s="515"/>
    </row>
    <row r="135" spans="1:9" ht="19.5" customHeight="1">
      <c r="A135" s="515" t="s">
        <v>203</v>
      </c>
      <c r="B135" s="515"/>
      <c r="C135" s="515"/>
      <c r="D135" s="515"/>
      <c r="E135" s="515"/>
      <c r="F135" s="515"/>
      <c r="G135" s="515"/>
      <c r="H135" s="515"/>
      <c r="I135" s="515"/>
    </row>
    <row r="136" spans="1:9" ht="19.5" customHeight="1">
      <c r="A136" s="139"/>
      <c r="B136" s="515" t="s">
        <v>925</v>
      </c>
      <c r="C136" s="515"/>
      <c r="D136" s="515"/>
      <c r="E136" s="515"/>
      <c r="F136" s="515"/>
      <c r="G136" s="515"/>
      <c r="H136" s="515"/>
      <c r="I136" s="515"/>
    </row>
    <row r="137" spans="1:9" ht="19.5" customHeight="1">
      <c r="A137" s="515" t="s">
        <v>276</v>
      </c>
      <c r="B137" s="515"/>
      <c r="C137" s="515"/>
      <c r="D137" s="515"/>
      <c r="E137" s="515"/>
      <c r="F137" s="515"/>
      <c r="G137" s="515"/>
      <c r="H137" s="515"/>
      <c r="I137" s="515"/>
    </row>
    <row r="138" spans="1:9" ht="19.5" customHeight="1">
      <c r="A138" s="515" t="s">
        <v>277</v>
      </c>
      <c r="B138" s="515"/>
      <c r="C138" s="515"/>
      <c r="D138" s="515"/>
      <c r="E138" s="515"/>
      <c r="F138" s="515"/>
      <c r="G138" s="515"/>
      <c r="H138" s="515"/>
      <c r="I138" s="515"/>
    </row>
    <row r="139" spans="1:9" ht="19.5" customHeight="1">
      <c r="A139" s="515" t="s">
        <v>927</v>
      </c>
      <c r="B139" s="515"/>
      <c r="C139" s="515"/>
      <c r="D139" s="515"/>
      <c r="E139" s="515"/>
      <c r="F139" s="515"/>
      <c r="G139" s="515"/>
      <c r="H139" s="515"/>
      <c r="I139" s="515"/>
    </row>
    <row r="140" spans="1:9" ht="19.5" customHeight="1">
      <c r="A140" s="515" t="s">
        <v>279</v>
      </c>
      <c r="B140" s="515"/>
      <c r="C140" s="515"/>
      <c r="D140" s="515"/>
      <c r="E140" s="515"/>
      <c r="F140" s="515"/>
      <c r="G140" s="515"/>
      <c r="H140" s="515"/>
      <c r="I140" s="515"/>
    </row>
    <row r="141" spans="1:9" ht="19.5" customHeight="1">
      <c r="A141" s="515" t="s">
        <v>872</v>
      </c>
      <c r="B141" s="515"/>
      <c r="C141" s="515"/>
      <c r="D141" s="515"/>
      <c r="E141" s="515"/>
      <c r="F141" s="515"/>
      <c r="G141" s="515"/>
      <c r="H141" s="515"/>
      <c r="I141" s="515"/>
    </row>
    <row r="142" spans="1:9" ht="19.5" customHeight="1">
      <c r="A142" s="515" t="s">
        <v>912</v>
      </c>
      <c r="B142" s="515"/>
      <c r="C142" s="515"/>
      <c r="D142" s="515"/>
      <c r="E142" s="515"/>
      <c r="F142" s="515"/>
      <c r="G142" s="515"/>
      <c r="H142" s="515"/>
      <c r="I142" s="515"/>
    </row>
    <row r="143" spans="1:9" ht="19.5" customHeight="1">
      <c r="A143" s="515" t="s">
        <v>928</v>
      </c>
      <c r="B143" s="515"/>
      <c r="C143" s="515"/>
      <c r="D143" s="515"/>
      <c r="E143" s="515"/>
      <c r="F143" s="515"/>
      <c r="G143" s="515"/>
      <c r="H143" s="515"/>
      <c r="I143" s="515"/>
    </row>
    <row r="144" spans="1:9" ht="19.5" customHeight="1">
      <c r="A144" s="515" t="s">
        <v>914</v>
      </c>
      <c r="B144" s="515"/>
      <c r="C144" s="515"/>
      <c r="D144" s="515"/>
      <c r="E144" s="515"/>
      <c r="F144" s="515"/>
      <c r="G144" s="515"/>
      <c r="H144" s="515"/>
      <c r="I144" s="515"/>
    </row>
    <row r="145" spans="1:9" ht="19.5" customHeight="1">
      <c r="A145" s="139"/>
      <c r="B145" s="515" t="s">
        <v>926</v>
      </c>
      <c r="C145" s="515"/>
      <c r="D145" s="515"/>
      <c r="E145" s="515"/>
      <c r="F145" s="515"/>
      <c r="G145" s="515"/>
      <c r="H145" s="515"/>
      <c r="I145" s="515"/>
    </row>
    <row r="146" spans="1:9" ht="19.5" customHeight="1">
      <c r="A146" s="515" t="s">
        <v>930</v>
      </c>
      <c r="B146" s="515"/>
      <c r="C146" s="515"/>
      <c r="D146" s="515"/>
      <c r="E146" s="515"/>
      <c r="F146" s="515"/>
      <c r="G146" s="515"/>
      <c r="H146" s="515"/>
      <c r="I146" s="515"/>
    </row>
    <row r="147" spans="1:9" ht="19.5" customHeight="1">
      <c r="A147" s="515" t="s">
        <v>929</v>
      </c>
      <c r="B147" s="515"/>
      <c r="C147" s="515"/>
      <c r="D147" s="515"/>
      <c r="E147" s="515"/>
      <c r="F147" s="515"/>
      <c r="G147" s="515"/>
      <c r="H147" s="515"/>
      <c r="I147" s="515"/>
    </row>
    <row r="148" spans="1:9" ht="19.5" customHeight="1">
      <c r="A148" s="139" t="s">
        <v>144</v>
      </c>
      <c r="B148" s="139"/>
      <c r="C148" s="139"/>
      <c r="D148" s="139"/>
      <c r="E148" s="139"/>
      <c r="F148" s="139"/>
      <c r="G148" s="139"/>
      <c r="H148" s="139"/>
      <c r="I148" s="138"/>
    </row>
    <row r="149" spans="1:9" ht="19.5" customHeight="1">
      <c r="A149" s="22" t="s">
        <v>683</v>
      </c>
      <c r="B149" s="491" t="s">
        <v>688</v>
      </c>
      <c r="C149" s="492"/>
      <c r="D149" s="5" t="s">
        <v>151</v>
      </c>
      <c r="E149" s="5" t="s">
        <v>712</v>
      </c>
      <c r="F149" s="5" t="s">
        <v>151</v>
      </c>
      <c r="G149" s="510" t="s">
        <v>713</v>
      </c>
      <c r="H149" s="511"/>
      <c r="I149" s="6" t="s">
        <v>176</v>
      </c>
    </row>
    <row r="150" spans="1:9" ht="19.5" customHeight="1">
      <c r="A150" s="23" t="s">
        <v>684</v>
      </c>
      <c r="B150" s="493"/>
      <c r="C150" s="494"/>
      <c r="D150" s="7" t="s">
        <v>656</v>
      </c>
      <c r="E150" s="7" t="s">
        <v>715</v>
      </c>
      <c r="F150" s="7" t="s">
        <v>657</v>
      </c>
      <c r="G150" s="8" t="s">
        <v>706</v>
      </c>
      <c r="H150" s="9" t="s">
        <v>707</v>
      </c>
      <c r="I150" s="10" t="s">
        <v>651</v>
      </c>
    </row>
    <row r="151" spans="1:9" ht="19.5" customHeight="1">
      <c r="A151" s="13">
        <v>1</v>
      </c>
      <c r="B151" s="535">
        <v>2</v>
      </c>
      <c r="C151" s="536"/>
      <c r="D151" s="12">
        <v>3</v>
      </c>
      <c r="E151" s="12">
        <v>4</v>
      </c>
      <c r="F151" s="12">
        <v>5</v>
      </c>
      <c r="G151" s="12">
        <v>6</v>
      </c>
      <c r="H151" s="12">
        <v>7</v>
      </c>
      <c r="I151" s="13">
        <v>8</v>
      </c>
    </row>
    <row r="152" spans="1:9" ht="19.5" customHeight="1">
      <c r="A152" s="24">
        <v>16019</v>
      </c>
      <c r="B152" s="483" t="s">
        <v>145</v>
      </c>
      <c r="C152" s="484"/>
      <c r="D152" s="120">
        <v>15</v>
      </c>
      <c r="E152" s="120">
        <v>15</v>
      </c>
      <c r="F152" s="120">
        <v>14</v>
      </c>
      <c r="G152" s="15">
        <f>F152/D152</f>
        <v>0.9333333333333333</v>
      </c>
      <c r="H152" s="15">
        <f>F152/E152</f>
        <v>0.9333333333333333</v>
      </c>
      <c r="I152" s="16">
        <f>F152/F177</f>
        <v>0.006309148264984227</v>
      </c>
    </row>
    <row r="153" spans="1:9" ht="19.5" customHeight="1">
      <c r="A153" s="24">
        <v>16319</v>
      </c>
      <c r="B153" s="483" t="s">
        <v>72</v>
      </c>
      <c r="C153" s="484"/>
      <c r="D153" s="431">
        <v>60</v>
      </c>
      <c r="E153" s="431">
        <v>60</v>
      </c>
      <c r="F153" s="432">
        <v>58</v>
      </c>
      <c r="G153" s="15">
        <f aca="true" t="shared" si="0" ref="G153:G165">F153/D153</f>
        <v>0.9666666666666667</v>
      </c>
      <c r="H153" s="15">
        <f aca="true" t="shared" si="1" ref="H153:H165">F153/E153</f>
        <v>0.9666666666666667</v>
      </c>
      <c r="I153" s="57">
        <f>F153/F177</f>
        <v>0.026137899954934655</v>
      </c>
    </row>
    <row r="154" spans="1:9" ht="19.5" customHeight="1">
      <c r="A154" s="24">
        <v>16637</v>
      </c>
      <c r="B154" s="483" t="s">
        <v>73</v>
      </c>
      <c r="C154" s="484"/>
      <c r="D154" s="431">
        <v>25</v>
      </c>
      <c r="E154" s="431">
        <v>25</v>
      </c>
      <c r="F154" s="432">
        <v>25</v>
      </c>
      <c r="G154" s="15">
        <f t="shared" si="0"/>
        <v>1</v>
      </c>
      <c r="H154" s="15">
        <f t="shared" si="1"/>
        <v>1</v>
      </c>
      <c r="I154" s="57">
        <f>F154/F177</f>
        <v>0.011266336187471835</v>
      </c>
    </row>
    <row r="155" spans="1:9" ht="19.5" customHeight="1">
      <c r="A155" s="24">
        <v>16795</v>
      </c>
      <c r="B155" s="483" t="s">
        <v>74</v>
      </c>
      <c r="C155" s="484"/>
      <c r="D155" s="431">
        <v>5</v>
      </c>
      <c r="E155" s="431">
        <v>6</v>
      </c>
      <c r="F155" s="432">
        <v>6</v>
      </c>
      <c r="G155" s="15">
        <f t="shared" si="0"/>
        <v>1.2</v>
      </c>
      <c r="H155" s="15">
        <f t="shared" si="1"/>
        <v>1</v>
      </c>
      <c r="I155" s="57">
        <f>F155/F177</f>
        <v>0.0027039206849932404</v>
      </c>
    </row>
    <row r="156" spans="1:9" ht="19.5" customHeight="1">
      <c r="A156" s="24">
        <v>16919</v>
      </c>
      <c r="B156" s="483" t="s">
        <v>75</v>
      </c>
      <c r="C156" s="484"/>
      <c r="D156" s="431">
        <v>0</v>
      </c>
      <c r="E156" s="431">
        <v>0</v>
      </c>
      <c r="F156" s="432">
        <v>0</v>
      </c>
      <c r="G156" s="15" t="e">
        <f t="shared" si="0"/>
        <v>#DIV/0!</v>
      </c>
      <c r="H156" s="15" t="e">
        <f t="shared" si="1"/>
        <v>#DIV/0!</v>
      </c>
      <c r="I156" s="57">
        <f>F156/F177</f>
        <v>0</v>
      </c>
    </row>
    <row r="157" spans="1:9" ht="19.5" customHeight="1">
      <c r="A157" s="24">
        <v>17519</v>
      </c>
      <c r="B157" s="483" t="s">
        <v>76</v>
      </c>
      <c r="C157" s="484"/>
      <c r="D157" s="431">
        <v>32</v>
      </c>
      <c r="E157" s="431">
        <v>35</v>
      </c>
      <c r="F157" s="432">
        <v>34</v>
      </c>
      <c r="G157" s="15">
        <f t="shared" si="0"/>
        <v>1.0625</v>
      </c>
      <c r="H157" s="15">
        <f t="shared" si="1"/>
        <v>0.9714285714285714</v>
      </c>
      <c r="I157" s="57">
        <f>F157/F177</f>
        <v>0.015322217214961695</v>
      </c>
    </row>
    <row r="158" spans="1:9" ht="19.5" customHeight="1">
      <c r="A158" s="24">
        <v>18019</v>
      </c>
      <c r="B158" s="483" t="s">
        <v>77</v>
      </c>
      <c r="C158" s="484"/>
      <c r="D158" s="431">
        <v>11</v>
      </c>
      <c r="E158" s="431">
        <v>12</v>
      </c>
      <c r="F158" s="432">
        <v>12</v>
      </c>
      <c r="G158" s="15">
        <f t="shared" si="0"/>
        <v>1.0909090909090908</v>
      </c>
      <c r="H158" s="15">
        <f t="shared" si="1"/>
        <v>1</v>
      </c>
      <c r="I158" s="57">
        <f>F158/F177</f>
        <v>0.005407841369986481</v>
      </c>
    </row>
    <row r="159" spans="1:9" ht="19.5" customHeight="1">
      <c r="A159" s="24">
        <v>18295</v>
      </c>
      <c r="B159" s="483" t="s">
        <v>78</v>
      </c>
      <c r="C159" s="484"/>
      <c r="D159" s="431">
        <v>43</v>
      </c>
      <c r="E159" s="431">
        <v>44</v>
      </c>
      <c r="F159" s="432">
        <v>44</v>
      </c>
      <c r="G159" s="15">
        <f t="shared" si="0"/>
        <v>1.0232558139534884</v>
      </c>
      <c r="H159" s="15">
        <f t="shared" si="1"/>
        <v>1</v>
      </c>
      <c r="I159" s="57">
        <f>F159/F177</f>
        <v>0.01982875168995043</v>
      </c>
    </row>
    <row r="160" spans="1:9" ht="19.5" customHeight="1">
      <c r="A160" s="24">
        <v>19595</v>
      </c>
      <c r="B160" s="483" t="s">
        <v>79</v>
      </c>
      <c r="C160" s="484"/>
      <c r="D160" s="431">
        <v>8</v>
      </c>
      <c r="E160" s="431">
        <v>9</v>
      </c>
      <c r="F160" s="432">
        <v>9</v>
      </c>
      <c r="G160" s="15">
        <f t="shared" si="0"/>
        <v>1.125</v>
      </c>
      <c r="H160" s="15">
        <f t="shared" si="1"/>
        <v>1</v>
      </c>
      <c r="I160" s="57">
        <f>F160/F177</f>
        <v>0.00405588102748986</v>
      </c>
    </row>
    <row r="161" spans="1:9" ht="19.5" customHeight="1">
      <c r="A161" s="24">
        <v>47019</v>
      </c>
      <c r="B161" s="483" t="s">
        <v>80</v>
      </c>
      <c r="C161" s="484"/>
      <c r="D161" s="431">
        <v>21</v>
      </c>
      <c r="E161" s="431">
        <v>24</v>
      </c>
      <c r="F161" s="432">
        <v>24</v>
      </c>
      <c r="G161" s="15">
        <f t="shared" si="0"/>
        <v>1.1428571428571428</v>
      </c>
      <c r="H161" s="15">
        <f t="shared" si="1"/>
        <v>1</v>
      </c>
      <c r="I161" s="57">
        <f>F161/F177</f>
        <v>0.010815682739972961</v>
      </c>
    </row>
    <row r="162" spans="1:9" ht="19.5" customHeight="1">
      <c r="A162" s="24">
        <v>48019</v>
      </c>
      <c r="B162" s="483" t="s">
        <v>81</v>
      </c>
      <c r="C162" s="484"/>
      <c r="D162" s="431">
        <v>7</v>
      </c>
      <c r="E162" s="431">
        <v>7</v>
      </c>
      <c r="F162" s="432">
        <v>7</v>
      </c>
      <c r="G162" s="15">
        <f t="shared" si="0"/>
        <v>1</v>
      </c>
      <c r="H162" s="15">
        <f t="shared" si="1"/>
        <v>1</v>
      </c>
      <c r="I162" s="57">
        <f>F162/F177</f>
        <v>0.0031545741324921135</v>
      </c>
    </row>
    <row r="163" spans="1:9" ht="19.5" customHeight="1">
      <c r="A163" s="24">
        <v>65095</v>
      </c>
      <c r="B163" s="483" t="s">
        <v>82</v>
      </c>
      <c r="C163" s="484"/>
      <c r="D163" s="431">
        <v>18</v>
      </c>
      <c r="E163" s="431">
        <v>18</v>
      </c>
      <c r="F163" s="432">
        <v>18</v>
      </c>
      <c r="G163" s="15">
        <f t="shared" si="0"/>
        <v>1</v>
      </c>
      <c r="H163" s="15">
        <f t="shared" si="1"/>
        <v>1</v>
      </c>
      <c r="I163" s="57">
        <f>F163/F177</f>
        <v>0.00811176205497972</v>
      </c>
    </row>
    <row r="164" spans="1:9" ht="19.5" customHeight="1">
      <c r="A164" s="24">
        <v>65495</v>
      </c>
      <c r="B164" s="483" t="s">
        <v>910</v>
      </c>
      <c r="C164" s="484"/>
      <c r="D164" s="431">
        <v>4</v>
      </c>
      <c r="E164" s="431">
        <v>4</v>
      </c>
      <c r="F164" s="432">
        <v>4</v>
      </c>
      <c r="G164" s="15">
        <f t="shared" si="0"/>
        <v>1</v>
      </c>
      <c r="H164" s="15">
        <f t="shared" si="1"/>
        <v>1</v>
      </c>
      <c r="I164" s="57">
        <f>F164/F177</f>
        <v>0.0018026137899954935</v>
      </c>
    </row>
    <row r="165" spans="1:9" ht="19.5" customHeight="1">
      <c r="A165" s="24">
        <v>66100</v>
      </c>
      <c r="B165" s="483" t="s">
        <v>84</v>
      </c>
      <c r="C165" s="484"/>
      <c r="D165" s="431">
        <v>12</v>
      </c>
      <c r="E165" s="431">
        <v>13</v>
      </c>
      <c r="F165" s="432">
        <v>13</v>
      </c>
      <c r="G165" s="15">
        <f t="shared" si="0"/>
        <v>1.0833333333333333</v>
      </c>
      <c r="H165" s="15">
        <f t="shared" si="1"/>
        <v>1</v>
      </c>
      <c r="I165" s="57">
        <f>F165/F177</f>
        <v>0.005858494817485353</v>
      </c>
    </row>
    <row r="166" spans="1:9" ht="27" customHeight="1">
      <c r="A166" s="35"/>
      <c r="B166" s="495" t="s">
        <v>85</v>
      </c>
      <c r="C166" s="496"/>
      <c r="D166" s="183">
        <f>D167+D168+D169</f>
        <v>363</v>
      </c>
      <c r="E166" s="183">
        <f>E167+E168+E169</f>
        <v>375</v>
      </c>
      <c r="F166" s="183">
        <f>F167+F168+F169</f>
        <v>371</v>
      </c>
      <c r="G166" s="184">
        <f aca="true" t="shared" si="2" ref="G166:G177">F166/D166</f>
        <v>1.022038567493113</v>
      </c>
      <c r="H166" s="185">
        <f aca="true" t="shared" si="3" ref="H166:H177">F166/E166</f>
        <v>0.9893333333333333</v>
      </c>
      <c r="I166" s="185">
        <f>F166/F177</f>
        <v>0.167192429022082</v>
      </c>
    </row>
    <row r="167" spans="1:9" ht="19.5" customHeight="1">
      <c r="A167" s="24">
        <v>73028</v>
      </c>
      <c r="B167" s="483" t="s">
        <v>86</v>
      </c>
      <c r="C167" s="484"/>
      <c r="D167" s="431">
        <v>4</v>
      </c>
      <c r="E167" s="431">
        <v>6</v>
      </c>
      <c r="F167" s="432">
        <v>5</v>
      </c>
      <c r="G167" s="15">
        <f t="shared" si="2"/>
        <v>1.25</v>
      </c>
      <c r="H167" s="15">
        <f t="shared" si="3"/>
        <v>0.8333333333333334</v>
      </c>
      <c r="I167" s="57">
        <f>F167/F166</f>
        <v>0.013477088948787063</v>
      </c>
    </row>
    <row r="168" spans="1:9" ht="19.5" customHeight="1">
      <c r="A168" s="24">
        <v>74100</v>
      </c>
      <c r="B168" s="483" t="s">
        <v>87</v>
      </c>
      <c r="C168" s="484"/>
      <c r="D168" s="431">
        <v>343</v>
      </c>
      <c r="E168" s="431">
        <v>350</v>
      </c>
      <c r="F168" s="432">
        <v>348</v>
      </c>
      <c r="G168" s="15">
        <f t="shared" si="2"/>
        <v>1.0145772594752187</v>
      </c>
      <c r="H168" s="15">
        <f t="shared" si="3"/>
        <v>0.9942857142857143</v>
      </c>
      <c r="I168" s="57">
        <f>F168/F166</f>
        <v>0.9380053908355795</v>
      </c>
    </row>
    <row r="169" spans="1:9" ht="19.5" customHeight="1">
      <c r="A169" s="24">
        <v>75590</v>
      </c>
      <c r="B169" s="483" t="s">
        <v>88</v>
      </c>
      <c r="C169" s="484"/>
      <c r="D169" s="431">
        <v>16</v>
      </c>
      <c r="E169" s="431">
        <v>19</v>
      </c>
      <c r="F169" s="432">
        <v>18</v>
      </c>
      <c r="G169" s="15">
        <f t="shared" si="2"/>
        <v>1.125</v>
      </c>
      <c r="H169" s="15">
        <f t="shared" si="3"/>
        <v>0.9473684210526315</v>
      </c>
      <c r="I169" s="57">
        <f>F169/F166</f>
        <v>0.04851752021563342</v>
      </c>
    </row>
    <row r="170" spans="1:9" ht="19.5" customHeight="1">
      <c r="A170" s="24">
        <v>76095</v>
      </c>
      <c r="B170" s="483" t="s">
        <v>89</v>
      </c>
      <c r="C170" s="484"/>
      <c r="D170" s="431">
        <v>0</v>
      </c>
      <c r="E170" s="431">
        <v>0</v>
      </c>
      <c r="F170" s="432">
        <v>0</v>
      </c>
      <c r="G170" s="15" t="e">
        <f t="shared" si="2"/>
        <v>#DIV/0!</v>
      </c>
      <c r="H170" s="15" t="e">
        <f t="shared" si="3"/>
        <v>#DIV/0!</v>
      </c>
      <c r="I170" s="57">
        <f>F170/F177</f>
        <v>0</v>
      </c>
    </row>
    <row r="171" spans="1:9" ht="19.5" customHeight="1">
      <c r="A171" s="24">
        <v>85019</v>
      </c>
      <c r="B171" s="483" t="s">
        <v>90</v>
      </c>
      <c r="C171" s="484"/>
      <c r="D171" s="431">
        <v>49</v>
      </c>
      <c r="E171" s="431">
        <v>50</v>
      </c>
      <c r="F171" s="432">
        <v>48</v>
      </c>
      <c r="G171" s="15">
        <f t="shared" si="2"/>
        <v>0.9795918367346939</v>
      </c>
      <c r="H171" s="15">
        <f t="shared" si="3"/>
        <v>0.96</v>
      </c>
      <c r="I171" s="57">
        <f>F171/F177</f>
        <v>0.021631365479945923</v>
      </c>
    </row>
    <row r="172" spans="1:9" ht="26.25" customHeight="1">
      <c r="A172" s="182"/>
      <c r="B172" s="495" t="s">
        <v>91</v>
      </c>
      <c r="C172" s="496"/>
      <c r="D172" s="183">
        <f>D173+D174+D176+D175</f>
        <v>1539</v>
      </c>
      <c r="E172" s="183">
        <f>E173+E174+E175+E176</f>
        <v>1517</v>
      </c>
      <c r="F172" s="183">
        <f>F173+F174+F175+F176</f>
        <v>1532</v>
      </c>
      <c r="G172" s="184">
        <f t="shared" si="2"/>
        <v>0.99545159194282</v>
      </c>
      <c r="H172" s="185">
        <f t="shared" si="3"/>
        <v>1.0098879367172051</v>
      </c>
      <c r="I172" s="185">
        <f>F172/F177</f>
        <v>0.690401081568274</v>
      </c>
    </row>
    <row r="173" spans="1:9" ht="19.5" customHeight="1">
      <c r="A173" s="24">
        <v>92095</v>
      </c>
      <c r="B173" s="483" t="s">
        <v>86</v>
      </c>
      <c r="C173" s="484"/>
      <c r="D173" s="431">
        <v>13</v>
      </c>
      <c r="E173" s="457">
        <v>14</v>
      </c>
      <c r="F173" s="457">
        <v>12</v>
      </c>
      <c r="G173" s="15">
        <f t="shared" si="2"/>
        <v>0.9230769230769231</v>
      </c>
      <c r="H173" s="15">
        <f t="shared" si="3"/>
        <v>0.8571428571428571</v>
      </c>
      <c r="I173" s="57">
        <f>F173/F172</f>
        <v>0.007832898172323759</v>
      </c>
    </row>
    <row r="174" spans="1:9" ht="19.5" customHeight="1">
      <c r="A174" s="24">
        <v>92570</v>
      </c>
      <c r="B174" s="483" t="s">
        <v>92</v>
      </c>
      <c r="C174" s="484"/>
      <c r="D174" s="431">
        <v>63</v>
      </c>
      <c r="E174" s="431" t="s">
        <v>147</v>
      </c>
      <c r="F174" s="432" t="s">
        <v>147</v>
      </c>
      <c r="G174" s="15">
        <f t="shared" si="2"/>
        <v>0.9841269841269841</v>
      </c>
      <c r="H174" s="15">
        <f t="shared" si="3"/>
        <v>1</v>
      </c>
      <c r="I174" s="57">
        <f>F174/F172</f>
        <v>0.04046997389033943</v>
      </c>
    </row>
    <row r="175" spans="1:9" ht="19.5" customHeight="1">
      <c r="A175" s="24">
        <v>93540</v>
      </c>
      <c r="B175" s="483" t="s">
        <v>93</v>
      </c>
      <c r="C175" s="484"/>
      <c r="D175" s="431">
        <v>1028</v>
      </c>
      <c r="E175" s="431">
        <v>1017</v>
      </c>
      <c r="F175" s="432">
        <f>847+176</f>
        <v>1023</v>
      </c>
      <c r="G175" s="15">
        <f>F175/D176</f>
        <v>2.3517241379310345</v>
      </c>
      <c r="H175" s="15">
        <f t="shared" si="3"/>
        <v>1.0058997050147493</v>
      </c>
      <c r="I175" s="57">
        <f>F175/F172</f>
        <v>0.6677545691906005</v>
      </c>
    </row>
    <row r="176" spans="1:9" ht="19.5" customHeight="1">
      <c r="A176" s="24">
        <v>94740</v>
      </c>
      <c r="B176" s="483" t="s">
        <v>94</v>
      </c>
      <c r="C176" s="484"/>
      <c r="D176" s="431">
        <v>435</v>
      </c>
      <c r="E176" s="431">
        <v>424</v>
      </c>
      <c r="F176" s="432">
        <v>435</v>
      </c>
      <c r="G176" s="15">
        <f>F176/D175</f>
        <v>0.42315175097276264</v>
      </c>
      <c r="H176" s="15">
        <f t="shared" si="3"/>
        <v>1.025943396226415</v>
      </c>
      <c r="I176" s="57">
        <f>F176/F172</f>
        <v>0.2839425587467363</v>
      </c>
    </row>
    <row r="177" spans="1:9" ht="30" customHeight="1" thickBot="1">
      <c r="A177" s="433"/>
      <c r="B177" s="636" t="s">
        <v>95</v>
      </c>
      <c r="C177" s="637"/>
      <c r="D177" s="434">
        <f>D152+D153+D154+D155+D156+D157+D158+D159+D160+D161+D162+D163+D164+D165+D166+D171+D172</f>
        <v>2212</v>
      </c>
      <c r="E177" s="434">
        <f>E152+E153+E154+E155+E156+E157+E158+E159+E160+E161+E162+E163+E164+E165+E166+E171+E172</f>
        <v>2214</v>
      </c>
      <c r="F177" s="434">
        <f>F152+F153+F154+F155+F156+F157+F158+F159+F160+F161+F162+F163+F164+F165+F166+F171+F172</f>
        <v>2219</v>
      </c>
      <c r="G177" s="435">
        <f t="shared" si="2"/>
        <v>1.0031645569620253</v>
      </c>
      <c r="H177" s="436">
        <f t="shared" si="3"/>
        <v>1.0022583559168925</v>
      </c>
      <c r="I177" s="436">
        <f>I152+I153+I154+I155+I156+I157+I158+I159+I160+I161+I162+I163+I164+I165+I166+I170+I171+I172</f>
        <v>1</v>
      </c>
    </row>
    <row r="178" spans="1:9" ht="20.25" customHeight="1">
      <c r="A178" s="140"/>
      <c r="B178" s="140"/>
      <c r="C178" s="140"/>
      <c r="D178" s="140"/>
      <c r="E178" s="140"/>
      <c r="F178" s="140"/>
      <c r="G178" s="140"/>
      <c r="H178" s="140"/>
      <c r="I178" s="135"/>
    </row>
    <row r="179" spans="1:9" ht="20.25" customHeight="1">
      <c r="A179" s="140" t="s">
        <v>741</v>
      </c>
      <c r="B179" s="515" t="s">
        <v>931</v>
      </c>
      <c r="C179" s="515"/>
      <c r="D179" s="515"/>
      <c r="E179" s="515"/>
      <c r="F179" s="515"/>
      <c r="G179" s="515"/>
      <c r="H179" s="515"/>
      <c r="I179" s="515"/>
    </row>
    <row r="180" spans="1:9" ht="20.25" customHeight="1">
      <c r="A180" s="140"/>
      <c r="B180" s="139"/>
      <c r="C180" s="139"/>
      <c r="D180" s="139"/>
      <c r="E180" s="139"/>
      <c r="F180" s="139"/>
      <c r="G180" s="139"/>
      <c r="H180" s="139"/>
      <c r="I180" s="139"/>
    </row>
    <row r="181" spans="1:9" ht="20.25" customHeight="1">
      <c r="A181" s="140"/>
      <c r="B181" s="140"/>
      <c r="C181" s="140"/>
      <c r="D181" s="140"/>
      <c r="E181" s="140"/>
      <c r="F181" s="140"/>
      <c r="G181" s="140"/>
      <c r="H181" s="140"/>
      <c r="I181" s="135"/>
    </row>
    <row r="182" spans="1:9" ht="20.25" customHeight="1">
      <c r="A182" s="140"/>
      <c r="B182" s="140"/>
      <c r="C182" s="140"/>
      <c r="D182" s="140"/>
      <c r="E182" s="140"/>
      <c r="F182" s="140"/>
      <c r="G182" s="140"/>
      <c r="H182" s="140"/>
      <c r="I182" s="135"/>
    </row>
    <row r="183" spans="1:9" ht="20.25" customHeight="1">
      <c r="A183" s="140"/>
      <c r="B183" s="140"/>
      <c r="C183" s="140"/>
      <c r="D183" s="140"/>
      <c r="E183" s="140"/>
      <c r="F183" s="140"/>
      <c r="G183" s="140"/>
      <c r="H183" s="140"/>
      <c r="I183" s="135"/>
    </row>
    <row r="184" spans="1:9" ht="20.25" customHeight="1">
      <c r="A184" s="140"/>
      <c r="B184" s="140"/>
      <c r="C184" s="140"/>
      <c r="D184" s="140"/>
      <c r="E184" s="140"/>
      <c r="F184" s="140"/>
      <c r="G184" s="140"/>
      <c r="H184" s="140"/>
      <c r="I184" s="135"/>
    </row>
    <row r="185" spans="1:9" ht="20.25" customHeight="1">
      <c r="A185" s="140"/>
      <c r="B185" s="140"/>
      <c r="C185" s="140"/>
      <c r="D185" s="140"/>
      <c r="E185" s="140"/>
      <c r="F185" s="140"/>
      <c r="G185" s="140"/>
      <c r="H185" s="140"/>
      <c r="I185" s="430">
        <v>1</v>
      </c>
    </row>
    <row r="186" spans="1:9" ht="20.25" customHeight="1">
      <c r="A186" s="140"/>
      <c r="B186" s="140"/>
      <c r="C186" s="140"/>
      <c r="D186" s="140"/>
      <c r="E186" s="140"/>
      <c r="F186" s="140"/>
      <c r="G186" s="140"/>
      <c r="H186" s="140"/>
      <c r="I186" s="430"/>
    </row>
    <row r="187" spans="1:9" ht="20.25" customHeight="1">
      <c r="A187" s="140"/>
      <c r="B187" s="140"/>
      <c r="C187" s="140"/>
      <c r="D187" s="140"/>
      <c r="E187" s="140"/>
      <c r="F187" s="140"/>
      <c r="G187" s="140"/>
      <c r="H187" s="140"/>
      <c r="I187" s="186"/>
    </row>
    <row r="188" spans="1:9" ht="20.25" customHeight="1">
      <c r="A188" s="140"/>
      <c r="B188" s="140"/>
      <c r="C188" s="140"/>
      <c r="D188" s="140"/>
      <c r="E188" s="140"/>
      <c r="F188" s="140"/>
      <c r="G188" s="140"/>
      <c r="H188" s="140"/>
      <c r="I188" s="186"/>
    </row>
    <row r="189" spans="1:9" ht="31.5" customHeight="1">
      <c r="A189" s="520" t="s">
        <v>205</v>
      </c>
      <c r="B189" s="520"/>
      <c r="C189" s="520"/>
      <c r="D189" s="520"/>
      <c r="E189" s="520"/>
      <c r="F189" s="520"/>
      <c r="G189" s="520"/>
      <c r="H189" s="520"/>
      <c r="I189" s="520"/>
    </row>
    <row r="190" spans="1:9" ht="36.75" customHeight="1">
      <c r="A190" s="520" t="s">
        <v>932</v>
      </c>
      <c r="B190" s="520"/>
      <c r="C190" s="520"/>
      <c r="D190" s="520"/>
      <c r="E190" s="520"/>
      <c r="F190" s="520"/>
      <c r="G190" s="520"/>
      <c r="H190" s="520"/>
      <c r="I190" s="520"/>
    </row>
    <row r="191" spans="1:9" ht="19.5" customHeight="1">
      <c r="A191" s="333"/>
      <c r="B191" s="333"/>
      <c r="C191" s="333"/>
      <c r="D191" s="333"/>
      <c r="E191" s="333"/>
      <c r="F191" s="333"/>
      <c r="G191" s="333"/>
      <c r="H191" s="333"/>
      <c r="I191" s="333"/>
    </row>
    <row r="192" spans="1:9" ht="20.25" customHeight="1">
      <c r="A192" s="139"/>
      <c r="B192" s="515" t="s">
        <v>933</v>
      </c>
      <c r="C192" s="515"/>
      <c r="D192" s="515"/>
      <c r="E192" s="515"/>
      <c r="F192" s="515"/>
      <c r="G192" s="515"/>
      <c r="H192" s="515"/>
      <c r="I192" s="515"/>
    </row>
    <row r="193" spans="1:9" ht="20.25" customHeight="1">
      <c r="A193" s="515" t="s">
        <v>934</v>
      </c>
      <c r="B193" s="515"/>
      <c r="C193" s="515"/>
      <c r="D193" s="515"/>
      <c r="E193" s="515"/>
      <c r="F193" s="515"/>
      <c r="G193" s="515"/>
      <c r="H193" s="515"/>
      <c r="I193" s="515"/>
    </row>
    <row r="194" spans="1:9" ht="20.25" customHeight="1">
      <c r="A194" s="515" t="s">
        <v>935</v>
      </c>
      <c r="B194" s="515"/>
      <c r="C194" s="515"/>
      <c r="D194" s="515"/>
      <c r="E194" s="515"/>
      <c r="F194" s="515"/>
      <c r="G194" s="515"/>
      <c r="H194" s="515"/>
      <c r="I194" s="515"/>
    </row>
    <row r="195" spans="1:9" ht="28.5" customHeight="1">
      <c r="A195" s="135"/>
      <c r="B195" s="135"/>
      <c r="C195" s="517" t="s">
        <v>682</v>
      </c>
      <c r="D195" s="517"/>
      <c r="E195" s="517"/>
      <c r="F195" s="517"/>
      <c r="G195" s="135"/>
      <c r="H195" s="135"/>
      <c r="I195" s="135"/>
    </row>
    <row r="196" spans="1:9" ht="20.25" customHeight="1">
      <c r="A196" s="528" t="s">
        <v>96</v>
      </c>
      <c r="B196" s="529" t="s">
        <v>688</v>
      </c>
      <c r="C196" s="142" t="s">
        <v>153</v>
      </c>
      <c r="D196" s="143" t="s">
        <v>712</v>
      </c>
      <c r="E196" s="143" t="s">
        <v>152</v>
      </c>
      <c r="F196" s="143" t="s">
        <v>181</v>
      </c>
      <c r="G196" s="512" t="s">
        <v>685</v>
      </c>
      <c r="H196" s="513"/>
      <c r="I196" s="514"/>
    </row>
    <row r="197" spans="1:9" ht="20.25" customHeight="1">
      <c r="A197" s="528"/>
      <c r="B197" s="529"/>
      <c r="C197" s="144" t="s">
        <v>656</v>
      </c>
      <c r="D197" s="145" t="s">
        <v>715</v>
      </c>
      <c r="E197" s="145" t="s">
        <v>657</v>
      </c>
      <c r="F197" s="145" t="s">
        <v>657</v>
      </c>
      <c r="G197" s="8" t="s">
        <v>178</v>
      </c>
      <c r="H197" s="9" t="s">
        <v>179</v>
      </c>
      <c r="I197" s="8" t="s">
        <v>180</v>
      </c>
    </row>
    <row r="198" spans="1:9" ht="20.25" customHeight="1">
      <c r="A198" s="146" t="s">
        <v>183</v>
      </c>
      <c r="B198" s="146" t="s">
        <v>184</v>
      </c>
      <c r="C198" s="147" t="s">
        <v>185</v>
      </c>
      <c r="D198" s="148">
        <v>4</v>
      </c>
      <c r="E198" s="146">
        <v>5</v>
      </c>
      <c r="F198" s="148">
        <v>6</v>
      </c>
      <c r="G198" s="146">
        <v>7</v>
      </c>
      <c r="H198" s="146">
        <v>8</v>
      </c>
      <c r="I198" s="187">
        <v>9</v>
      </c>
    </row>
    <row r="199" spans="1:9" ht="18.75" customHeight="1">
      <c r="A199" s="188">
        <v>50009</v>
      </c>
      <c r="B199" s="337" t="s">
        <v>761</v>
      </c>
      <c r="C199" s="151">
        <v>202356.46</v>
      </c>
      <c r="D199" s="300">
        <v>570000</v>
      </c>
      <c r="E199" s="290">
        <v>225370</v>
      </c>
      <c r="F199" s="290">
        <v>219177.94</v>
      </c>
      <c r="G199" s="57">
        <f>F199/C199</f>
        <v>1.0831279614201592</v>
      </c>
      <c r="H199" s="57">
        <f>F199/D199</f>
        <v>0.38452270175438596</v>
      </c>
      <c r="I199" s="57">
        <f>F199/E199</f>
        <v>0.9725249145849049</v>
      </c>
    </row>
    <row r="200" spans="1:9" ht="18.75" customHeight="1">
      <c r="A200" s="188" t="s">
        <v>757</v>
      </c>
      <c r="B200" s="337" t="s">
        <v>762</v>
      </c>
      <c r="C200" s="151">
        <v>3438.15</v>
      </c>
      <c r="D200" s="290">
        <v>50000</v>
      </c>
      <c r="E200" s="290">
        <v>29600</v>
      </c>
      <c r="F200" s="290">
        <v>1409</v>
      </c>
      <c r="G200" s="57">
        <f aca="true" t="shared" si="4" ref="G200:G248">F200/C200</f>
        <v>0.4098134170993121</v>
      </c>
      <c r="H200" s="57">
        <f aca="true" t="shared" si="5" ref="H200:H248">F200/D200</f>
        <v>0.02818</v>
      </c>
      <c r="I200" s="57">
        <f aca="true" t="shared" si="6" ref="I200:I248">F200/E200</f>
        <v>0.04760135135135135</v>
      </c>
    </row>
    <row r="201" spans="1:9" ht="18.75" customHeight="1">
      <c r="A201" s="188" t="s">
        <v>747</v>
      </c>
      <c r="B201" s="337" t="s">
        <v>157</v>
      </c>
      <c r="C201" s="151">
        <v>10326</v>
      </c>
      <c r="D201" s="290">
        <v>20000</v>
      </c>
      <c r="E201" s="290">
        <v>7360</v>
      </c>
      <c r="F201" s="290">
        <v>11599</v>
      </c>
      <c r="G201" s="57">
        <f t="shared" si="4"/>
        <v>1.1232810381561107</v>
      </c>
      <c r="H201" s="57">
        <f t="shared" si="5"/>
        <v>0.57995</v>
      </c>
      <c r="I201" s="57">
        <f t="shared" si="6"/>
        <v>1.5759510869565216</v>
      </c>
    </row>
    <row r="202" spans="1:9" ht="18.75" customHeight="1">
      <c r="A202" s="188">
        <v>50408</v>
      </c>
      <c r="B202" s="337" t="s">
        <v>689</v>
      </c>
      <c r="C202" s="151">
        <v>4912.42</v>
      </c>
      <c r="D202" s="290">
        <v>10000</v>
      </c>
      <c r="E202" s="290">
        <v>5002</v>
      </c>
      <c r="F202" s="290">
        <v>3882.18</v>
      </c>
      <c r="G202" s="57">
        <f t="shared" si="4"/>
        <v>0.7902785185305816</v>
      </c>
      <c r="H202" s="57">
        <f t="shared" si="5"/>
        <v>0.388218</v>
      </c>
      <c r="I202" s="57">
        <f t="shared" si="6"/>
        <v>0.776125549780088</v>
      </c>
    </row>
    <row r="203" spans="1:9" ht="18.75" customHeight="1">
      <c r="A203" s="188">
        <v>50016</v>
      </c>
      <c r="B203" s="337" t="s">
        <v>690</v>
      </c>
      <c r="C203" s="151">
        <v>72269.5</v>
      </c>
      <c r="D203" s="290">
        <v>185000</v>
      </c>
      <c r="E203" s="290">
        <v>85625</v>
      </c>
      <c r="F203" s="290">
        <f>25407+5047+1581+30961.5</f>
        <v>62996.5</v>
      </c>
      <c r="G203" s="57">
        <f t="shared" si="4"/>
        <v>0.8716886099945343</v>
      </c>
      <c r="H203" s="57">
        <f t="shared" si="5"/>
        <v>0.34052162162162164</v>
      </c>
      <c r="I203" s="57">
        <f t="shared" si="6"/>
        <v>0.7357255474452554</v>
      </c>
    </row>
    <row r="204" spans="1:9" ht="18.75" customHeight="1">
      <c r="A204" s="188">
        <v>50018</v>
      </c>
      <c r="B204" s="337" t="s">
        <v>758</v>
      </c>
      <c r="C204" s="151">
        <v>3353</v>
      </c>
      <c r="D204" s="290">
        <v>9000</v>
      </c>
      <c r="E204" s="290">
        <v>4500</v>
      </c>
      <c r="F204" s="290">
        <v>2298</v>
      </c>
      <c r="G204" s="57">
        <f t="shared" si="4"/>
        <v>0.6853563972561885</v>
      </c>
      <c r="H204" s="57">
        <f t="shared" si="5"/>
        <v>0.25533333333333336</v>
      </c>
      <c r="I204" s="57">
        <f t="shared" si="6"/>
        <v>0.5106666666666667</v>
      </c>
    </row>
    <row r="205" spans="1:9" ht="18.75" customHeight="1">
      <c r="A205" s="188" t="s">
        <v>748</v>
      </c>
      <c r="B205" s="337" t="s">
        <v>194</v>
      </c>
      <c r="C205" s="151">
        <v>3670</v>
      </c>
      <c r="D205" s="290">
        <v>10500</v>
      </c>
      <c r="E205" s="290">
        <v>5300</v>
      </c>
      <c r="F205" s="290">
        <v>3780</v>
      </c>
      <c r="G205" s="57">
        <f t="shared" si="4"/>
        <v>1.0299727520435968</v>
      </c>
      <c r="H205" s="57">
        <f t="shared" si="5"/>
        <v>0.36</v>
      </c>
      <c r="I205" s="57">
        <f t="shared" si="6"/>
        <v>0.7132075471698113</v>
      </c>
    </row>
    <row r="206" spans="1:9" ht="18.75" customHeight="1">
      <c r="A206" s="188" t="s">
        <v>749</v>
      </c>
      <c r="B206" s="337" t="s">
        <v>759</v>
      </c>
      <c r="C206" s="151">
        <v>2581</v>
      </c>
      <c r="D206" s="290">
        <v>5000</v>
      </c>
      <c r="E206" s="290">
        <v>2600</v>
      </c>
      <c r="F206" s="290">
        <v>6419</v>
      </c>
      <c r="G206" s="57">
        <f t="shared" si="4"/>
        <v>2.487020534676482</v>
      </c>
      <c r="H206" s="57">
        <f t="shared" si="5"/>
        <v>1.2838</v>
      </c>
      <c r="I206" s="57">
        <f t="shared" si="6"/>
        <v>2.4688461538461537</v>
      </c>
    </row>
    <row r="207" spans="1:9" ht="18.75" customHeight="1">
      <c r="A207" s="188" t="s">
        <v>196</v>
      </c>
      <c r="B207" s="337" t="s">
        <v>760</v>
      </c>
      <c r="C207" s="151">
        <v>3493</v>
      </c>
      <c r="D207" s="290" t="s">
        <v>198</v>
      </c>
      <c r="E207" s="290">
        <v>0</v>
      </c>
      <c r="F207" s="290">
        <v>3619.25</v>
      </c>
      <c r="G207" s="57">
        <f t="shared" si="4"/>
        <v>1.0361437160034355</v>
      </c>
      <c r="H207" s="57" t="e">
        <f t="shared" si="5"/>
        <v>#DIV/0!</v>
      </c>
      <c r="I207" s="57" t="e">
        <f t="shared" si="6"/>
        <v>#DIV/0!</v>
      </c>
    </row>
    <row r="208" spans="1:9" ht="18.75" customHeight="1">
      <c r="A208" s="188">
        <v>50211</v>
      </c>
      <c r="B208" s="337" t="s">
        <v>691</v>
      </c>
      <c r="C208" s="151">
        <v>6880</v>
      </c>
      <c r="D208" s="290">
        <v>16350</v>
      </c>
      <c r="E208" s="290">
        <v>8178</v>
      </c>
      <c r="F208" s="290">
        <v>2260</v>
      </c>
      <c r="G208" s="57">
        <f t="shared" si="4"/>
        <v>0.32848837209302323</v>
      </c>
      <c r="H208" s="57">
        <f t="shared" si="5"/>
        <v>0.1382262996941896</v>
      </c>
      <c r="I208" s="57">
        <f t="shared" si="6"/>
        <v>0.2763511861090731</v>
      </c>
    </row>
    <row r="209" spans="1:9" ht="18.75" customHeight="1">
      <c r="A209" s="188">
        <v>50206</v>
      </c>
      <c r="B209" s="337" t="s">
        <v>692</v>
      </c>
      <c r="C209" s="151">
        <v>90</v>
      </c>
      <c r="D209" s="290">
        <v>700</v>
      </c>
      <c r="E209" s="290">
        <v>352</v>
      </c>
      <c r="F209" s="290">
        <v>2240</v>
      </c>
      <c r="G209" s="411">
        <f t="shared" si="4"/>
        <v>24.88888888888889</v>
      </c>
      <c r="H209" s="57">
        <f t="shared" si="5"/>
        <v>3.2</v>
      </c>
      <c r="I209" s="57">
        <f t="shared" si="6"/>
        <v>6.363636363636363</v>
      </c>
    </row>
    <row r="210" spans="1:9" ht="18.75" customHeight="1">
      <c r="A210" s="188">
        <v>50208</v>
      </c>
      <c r="B210" s="337" t="s">
        <v>763</v>
      </c>
      <c r="C210" s="151">
        <v>5290</v>
      </c>
      <c r="D210" s="290">
        <v>5000</v>
      </c>
      <c r="E210" s="290">
        <v>2504</v>
      </c>
      <c r="F210" s="290">
        <v>8935</v>
      </c>
      <c r="G210" s="57">
        <f t="shared" si="4"/>
        <v>1.6890359168241966</v>
      </c>
      <c r="H210" s="57">
        <f t="shared" si="5"/>
        <v>1.787</v>
      </c>
      <c r="I210" s="57">
        <f t="shared" si="6"/>
        <v>3.568290734824281</v>
      </c>
    </row>
    <row r="211" spans="1:9" ht="18.75" customHeight="1">
      <c r="A211" s="188" t="s">
        <v>750</v>
      </c>
      <c r="B211" s="337" t="s">
        <v>764</v>
      </c>
      <c r="C211" s="151">
        <v>0</v>
      </c>
      <c r="D211" s="290">
        <v>2000</v>
      </c>
      <c r="E211" s="290">
        <v>1004</v>
      </c>
      <c r="F211" s="290">
        <v>0</v>
      </c>
      <c r="G211" s="57" t="e">
        <f t="shared" si="4"/>
        <v>#DIV/0!</v>
      </c>
      <c r="H211" s="57">
        <f t="shared" si="5"/>
        <v>0</v>
      </c>
      <c r="I211" s="57">
        <f t="shared" si="6"/>
        <v>0</v>
      </c>
    </row>
    <row r="212" spans="1:9" ht="18.75" customHeight="1">
      <c r="A212" s="188">
        <v>50019</v>
      </c>
      <c r="B212" s="337" t="s">
        <v>693</v>
      </c>
      <c r="C212" s="151">
        <v>530</v>
      </c>
      <c r="D212" s="290">
        <v>1500</v>
      </c>
      <c r="E212" s="290">
        <v>750</v>
      </c>
      <c r="F212" s="290">
        <v>0</v>
      </c>
      <c r="G212" s="57">
        <f t="shared" si="4"/>
        <v>0</v>
      </c>
      <c r="H212" s="57">
        <f t="shared" si="5"/>
        <v>0</v>
      </c>
      <c r="I212" s="57">
        <f t="shared" si="6"/>
        <v>0</v>
      </c>
    </row>
    <row r="213" spans="1:9" ht="18.75" customHeight="1">
      <c r="A213" s="188">
        <v>50017</v>
      </c>
      <c r="B213" s="337" t="s">
        <v>765</v>
      </c>
      <c r="C213" s="151">
        <v>104</v>
      </c>
      <c r="D213" s="290" t="s">
        <v>1116</v>
      </c>
      <c r="E213" s="290">
        <v>600</v>
      </c>
      <c r="F213" s="290">
        <v>200</v>
      </c>
      <c r="G213" s="57">
        <f t="shared" si="4"/>
        <v>1.9230769230769231</v>
      </c>
      <c r="H213" s="57">
        <f t="shared" si="5"/>
        <v>0.3333333333333333</v>
      </c>
      <c r="I213" s="57">
        <f t="shared" si="6"/>
        <v>0.3333333333333333</v>
      </c>
    </row>
    <row r="214" spans="1:9" ht="18.75" customHeight="1">
      <c r="A214" s="291">
        <v>50101</v>
      </c>
      <c r="B214" s="313" t="s">
        <v>694</v>
      </c>
      <c r="C214" s="151">
        <v>65461</v>
      </c>
      <c r="D214" s="290">
        <v>194750</v>
      </c>
      <c r="E214" s="290">
        <v>95750</v>
      </c>
      <c r="F214" s="290">
        <v>41745</v>
      </c>
      <c r="G214" s="57">
        <f t="shared" si="4"/>
        <v>0.6377079482439926</v>
      </c>
      <c r="H214" s="57">
        <f t="shared" si="5"/>
        <v>0.21435173299101412</v>
      </c>
      <c r="I214" s="57">
        <f t="shared" si="6"/>
        <v>0.43597911227154046</v>
      </c>
    </row>
    <row r="215" spans="1:9" ht="18.75" customHeight="1">
      <c r="A215" s="291">
        <v>50102</v>
      </c>
      <c r="B215" s="313" t="s">
        <v>695</v>
      </c>
      <c r="C215" s="151">
        <v>0</v>
      </c>
      <c r="D215" s="290">
        <v>45000</v>
      </c>
      <c r="E215" s="290">
        <v>24000</v>
      </c>
      <c r="F215" s="290">
        <v>0</v>
      </c>
      <c r="G215" s="57" t="e">
        <f t="shared" si="4"/>
        <v>#DIV/0!</v>
      </c>
      <c r="H215" s="57">
        <f t="shared" si="5"/>
        <v>0</v>
      </c>
      <c r="I215" s="57">
        <f t="shared" si="6"/>
        <v>0</v>
      </c>
    </row>
    <row r="216" spans="1:9" ht="18.75" customHeight="1">
      <c r="A216" s="188">
        <v>40110</v>
      </c>
      <c r="B216" s="174" t="s">
        <v>696</v>
      </c>
      <c r="C216" s="151">
        <v>343703.14</v>
      </c>
      <c r="D216" s="290">
        <v>650000</v>
      </c>
      <c r="E216" s="290">
        <v>298000</v>
      </c>
      <c r="F216" s="290">
        <v>394262.98</v>
      </c>
      <c r="G216" s="57">
        <f t="shared" si="4"/>
        <v>1.1471032240205894</v>
      </c>
      <c r="H216" s="57">
        <f t="shared" si="5"/>
        <v>0.6065584307692308</v>
      </c>
      <c r="I216" s="57">
        <f t="shared" si="6"/>
        <v>1.3230301342281878</v>
      </c>
    </row>
    <row r="217" spans="1:9" ht="18.75" customHeight="1">
      <c r="A217" s="188">
        <v>50290</v>
      </c>
      <c r="B217" s="337" t="s">
        <v>697</v>
      </c>
      <c r="C217" s="151">
        <v>93606.7</v>
      </c>
      <c r="D217" s="290">
        <v>180000</v>
      </c>
      <c r="E217" s="290">
        <v>94000</v>
      </c>
      <c r="F217" s="290">
        <v>93303.5</v>
      </c>
      <c r="G217" s="57">
        <f t="shared" si="4"/>
        <v>0.9967609156182197</v>
      </c>
      <c r="H217" s="57">
        <f t="shared" si="5"/>
        <v>0.5183527777777778</v>
      </c>
      <c r="I217" s="57">
        <f t="shared" si="6"/>
        <v>0.9925904255319149</v>
      </c>
    </row>
    <row r="218" spans="1:9" ht="18.75" customHeight="1">
      <c r="A218" s="188">
        <v>50403</v>
      </c>
      <c r="B218" s="337" t="s">
        <v>491</v>
      </c>
      <c r="C218" s="151">
        <v>24720</v>
      </c>
      <c r="D218" s="290">
        <v>10000</v>
      </c>
      <c r="E218" s="290">
        <v>10000</v>
      </c>
      <c r="F218" s="290">
        <v>7886.2</v>
      </c>
      <c r="G218" s="57">
        <f t="shared" si="4"/>
        <v>0.3190210355987055</v>
      </c>
      <c r="H218" s="57">
        <f t="shared" si="5"/>
        <v>0.78862</v>
      </c>
      <c r="I218" s="57">
        <f t="shared" si="6"/>
        <v>0.78862</v>
      </c>
    </row>
    <row r="219" spans="1:9" ht="18.75" customHeight="1">
      <c r="A219" s="188">
        <v>50001</v>
      </c>
      <c r="B219" s="337" t="s">
        <v>1123</v>
      </c>
      <c r="C219" s="151">
        <v>73430</v>
      </c>
      <c r="D219" s="290">
        <v>145000</v>
      </c>
      <c r="E219" s="290">
        <v>71800</v>
      </c>
      <c r="F219" s="290">
        <v>71701</v>
      </c>
      <c r="G219" s="57">
        <f t="shared" si="4"/>
        <v>0.9764537654909438</v>
      </c>
      <c r="H219" s="57">
        <f t="shared" si="5"/>
        <v>0.4944896551724138</v>
      </c>
      <c r="I219" s="57">
        <f t="shared" si="6"/>
        <v>0.9986211699164346</v>
      </c>
    </row>
    <row r="220" spans="1:9" ht="18.75" customHeight="1">
      <c r="A220" s="188">
        <v>50008</v>
      </c>
      <c r="B220" s="337" t="s">
        <v>766</v>
      </c>
      <c r="C220" s="151">
        <v>10832</v>
      </c>
      <c r="D220" s="290">
        <v>36000</v>
      </c>
      <c r="E220" s="290">
        <v>18000</v>
      </c>
      <c r="F220" s="290">
        <v>4665</v>
      </c>
      <c r="G220" s="57">
        <f t="shared" si="4"/>
        <v>0.43066838995568685</v>
      </c>
      <c r="H220" s="57">
        <f t="shared" si="5"/>
        <v>0.12958333333333333</v>
      </c>
      <c r="I220" s="57">
        <f t="shared" si="6"/>
        <v>0.25916666666666666</v>
      </c>
    </row>
    <row r="221" spans="1:9" ht="18.75" customHeight="1">
      <c r="A221" s="188">
        <v>50212</v>
      </c>
      <c r="B221" s="337" t="s">
        <v>767</v>
      </c>
      <c r="C221" s="151">
        <v>19751.4</v>
      </c>
      <c r="D221" s="290">
        <v>45000</v>
      </c>
      <c r="E221" s="290">
        <v>22500</v>
      </c>
      <c r="F221" s="290">
        <v>10457.63</v>
      </c>
      <c r="G221" s="57">
        <f t="shared" si="4"/>
        <v>0.5294627216298591</v>
      </c>
      <c r="H221" s="57">
        <f t="shared" si="5"/>
        <v>0.23239177777777775</v>
      </c>
      <c r="I221" s="57">
        <f t="shared" si="6"/>
        <v>0.4647835555555555</v>
      </c>
    </row>
    <row r="222" spans="1:9" ht="18.75" customHeight="1">
      <c r="A222" s="188">
        <v>50205</v>
      </c>
      <c r="B222" s="150" t="s">
        <v>768</v>
      </c>
      <c r="C222" s="151">
        <v>15150</v>
      </c>
      <c r="D222" s="290">
        <v>31000</v>
      </c>
      <c r="E222" s="290">
        <v>17500</v>
      </c>
      <c r="F222" s="290">
        <v>11575</v>
      </c>
      <c r="G222" s="57">
        <f>F222/C222</f>
        <v>0.764026402640264</v>
      </c>
      <c r="H222" s="57">
        <f>F222/D222</f>
        <v>0.37338709677419357</v>
      </c>
      <c r="I222" s="57">
        <f t="shared" si="6"/>
        <v>0.6614285714285715</v>
      </c>
    </row>
    <row r="223" spans="1:9" ht="18.75" customHeight="1">
      <c r="A223" s="188">
        <v>50501</v>
      </c>
      <c r="B223" s="174" t="s">
        <v>1127</v>
      </c>
      <c r="C223" s="151">
        <v>1500</v>
      </c>
      <c r="D223" s="290">
        <v>1000</v>
      </c>
      <c r="E223" s="290">
        <v>1000</v>
      </c>
      <c r="F223" s="290">
        <v>140</v>
      </c>
      <c r="G223" s="57">
        <f>F223/C223</f>
        <v>0.09333333333333334</v>
      </c>
      <c r="H223" s="57">
        <f>F223/D223</f>
        <v>0.14</v>
      </c>
      <c r="I223" s="57">
        <f t="shared" si="6"/>
        <v>0.14</v>
      </c>
    </row>
    <row r="224" spans="1:9" ht="18.75" customHeight="1">
      <c r="A224" s="188">
        <v>50507</v>
      </c>
      <c r="B224" s="337" t="s">
        <v>1129</v>
      </c>
      <c r="C224" s="151">
        <v>0</v>
      </c>
      <c r="D224" s="290">
        <v>2600</v>
      </c>
      <c r="E224" s="290">
        <v>900</v>
      </c>
      <c r="F224" s="290">
        <v>280</v>
      </c>
      <c r="G224" s="57" t="e">
        <f>F224/C224</f>
        <v>#DIV/0!</v>
      </c>
      <c r="H224" s="57">
        <f>F224/D224</f>
        <v>0.1076923076923077</v>
      </c>
      <c r="I224" s="57">
        <f t="shared" si="6"/>
        <v>0.3111111111111111</v>
      </c>
    </row>
    <row r="225" spans="1:9" ht="18.75" customHeight="1">
      <c r="A225" s="291">
        <v>50104</v>
      </c>
      <c r="B225" s="367" t="s">
        <v>494</v>
      </c>
      <c r="C225" s="151">
        <v>250</v>
      </c>
      <c r="D225" s="290">
        <v>3200</v>
      </c>
      <c r="E225" s="290">
        <v>1700</v>
      </c>
      <c r="F225" s="290">
        <v>50</v>
      </c>
      <c r="G225" s="57">
        <f>F225/C225</f>
        <v>0.2</v>
      </c>
      <c r="H225" s="57">
        <f>F225/D225</f>
        <v>0.015625</v>
      </c>
      <c r="I225" s="57">
        <f t="shared" si="6"/>
        <v>0.029411764705882353</v>
      </c>
    </row>
    <row r="226" spans="1:9" ht="18.75" customHeight="1">
      <c r="A226" s="188">
        <v>50012</v>
      </c>
      <c r="B226" s="337" t="s">
        <v>769</v>
      </c>
      <c r="C226" s="151">
        <v>2469</v>
      </c>
      <c r="D226" s="290">
        <v>5000</v>
      </c>
      <c r="E226" s="290">
        <v>2500</v>
      </c>
      <c r="F226" s="290">
        <v>1755</v>
      </c>
      <c r="G226" s="57">
        <f t="shared" si="4"/>
        <v>0.7108140947752126</v>
      </c>
      <c r="H226" s="57">
        <f t="shared" si="5"/>
        <v>0.351</v>
      </c>
      <c r="I226" s="57">
        <f t="shared" si="6"/>
        <v>0.702</v>
      </c>
    </row>
    <row r="227" spans="1:9" ht="18.75" customHeight="1">
      <c r="A227" s="291" t="s">
        <v>751</v>
      </c>
      <c r="B227" s="313" t="s">
        <v>698</v>
      </c>
      <c r="C227" s="151">
        <v>0</v>
      </c>
      <c r="D227" s="290">
        <v>700</v>
      </c>
      <c r="E227" s="290">
        <v>500</v>
      </c>
      <c r="F227" s="290">
        <v>0</v>
      </c>
      <c r="G227" s="57" t="e">
        <f t="shared" si="4"/>
        <v>#DIV/0!</v>
      </c>
      <c r="H227" s="57">
        <f t="shared" si="5"/>
        <v>0</v>
      </c>
      <c r="I227" s="57">
        <f t="shared" si="6"/>
        <v>0</v>
      </c>
    </row>
    <row r="228" spans="1:9" ht="18.75" customHeight="1">
      <c r="A228" s="291" t="s">
        <v>752</v>
      </c>
      <c r="B228" s="367" t="s">
        <v>770</v>
      </c>
      <c r="C228" s="151">
        <v>0</v>
      </c>
      <c r="D228" s="290">
        <v>1500</v>
      </c>
      <c r="E228" s="290">
        <v>1000</v>
      </c>
      <c r="F228" s="290">
        <v>0</v>
      </c>
      <c r="G228" s="57" t="e">
        <f t="shared" si="4"/>
        <v>#DIV/0!</v>
      </c>
      <c r="H228" s="57">
        <f t="shared" si="5"/>
        <v>0</v>
      </c>
      <c r="I228" s="57">
        <f t="shared" si="6"/>
        <v>0</v>
      </c>
    </row>
    <row r="229" spans="1:9" ht="18.75" customHeight="1">
      <c r="A229" s="291" t="s">
        <v>753</v>
      </c>
      <c r="B229" s="367" t="s">
        <v>771</v>
      </c>
      <c r="C229" s="151">
        <v>0</v>
      </c>
      <c r="D229" s="290" t="s">
        <v>201</v>
      </c>
      <c r="E229" s="290">
        <v>300</v>
      </c>
      <c r="F229" s="290">
        <v>0</v>
      </c>
      <c r="G229" s="57" t="e">
        <f t="shared" si="4"/>
        <v>#DIV/0!</v>
      </c>
      <c r="H229" s="57">
        <f t="shared" si="5"/>
        <v>0</v>
      </c>
      <c r="I229" s="57">
        <f t="shared" si="6"/>
        <v>0</v>
      </c>
    </row>
    <row r="230" spans="1:9" ht="18.75" customHeight="1">
      <c r="A230" s="291"/>
      <c r="B230" s="367" t="s">
        <v>699</v>
      </c>
      <c r="C230" s="151">
        <v>0</v>
      </c>
      <c r="D230" s="290">
        <v>10000</v>
      </c>
      <c r="E230" s="290">
        <v>1000</v>
      </c>
      <c r="F230" s="290">
        <v>0</v>
      </c>
      <c r="G230" s="57" t="e">
        <f t="shared" si="4"/>
        <v>#DIV/0!</v>
      </c>
      <c r="H230" s="57">
        <f t="shared" si="5"/>
        <v>0</v>
      </c>
      <c r="I230" s="57">
        <f t="shared" si="6"/>
        <v>0</v>
      </c>
    </row>
    <row r="231" spans="1:9" ht="18.75" customHeight="1">
      <c r="A231" s="291">
        <v>50020</v>
      </c>
      <c r="B231" s="367" t="s">
        <v>492</v>
      </c>
      <c r="C231" s="151">
        <v>0</v>
      </c>
      <c r="D231" s="290">
        <v>0</v>
      </c>
      <c r="E231" s="290">
        <v>0</v>
      </c>
      <c r="F231" s="290">
        <v>70</v>
      </c>
      <c r="G231" s="57" t="e">
        <f t="shared" si="4"/>
        <v>#DIV/0!</v>
      </c>
      <c r="H231" s="57" t="e">
        <f t="shared" si="5"/>
        <v>#DIV/0!</v>
      </c>
      <c r="I231" s="57" t="e">
        <f t="shared" si="6"/>
        <v>#DIV/0!</v>
      </c>
    </row>
    <row r="232" spans="1:9" ht="18.75" customHeight="1">
      <c r="A232" s="291">
        <v>50405</v>
      </c>
      <c r="B232" s="367" t="s">
        <v>493</v>
      </c>
      <c r="C232" s="151">
        <v>0</v>
      </c>
      <c r="D232" s="290">
        <v>0</v>
      </c>
      <c r="E232" s="290">
        <v>0</v>
      </c>
      <c r="F232" s="290">
        <v>766.49</v>
      </c>
      <c r="G232" s="57" t="e">
        <f>F232/C232</f>
        <v>#DIV/0!</v>
      </c>
      <c r="H232" s="57" t="e">
        <f>F232/D232</f>
        <v>#DIV/0!</v>
      </c>
      <c r="I232" s="57" t="e">
        <f>F232/E232</f>
        <v>#DIV/0!</v>
      </c>
    </row>
    <row r="233" spans="1:9" ht="18.75" customHeight="1">
      <c r="A233" s="291">
        <v>50505</v>
      </c>
      <c r="B233" s="313" t="s">
        <v>166</v>
      </c>
      <c r="C233" s="151">
        <v>1357</v>
      </c>
      <c r="D233" s="290" t="s">
        <v>333</v>
      </c>
      <c r="E233" s="290">
        <v>900</v>
      </c>
      <c r="F233" s="290">
        <v>0</v>
      </c>
      <c r="G233" s="57">
        <f t="shared" si="4"/>
        <v>0</v>
      </c>
      <c r="H233" s="57">
        <f t="shared" si="5"/>
        <v>0</v>
      </c>
      <c r="I233" s="57">
        <f t="shared" si="6"/>
        <v>0</v>
      </c>
    </row>
    <row r="234" spans="1:9" ht="18.75" customHeight="1">
      <c r="A234" s="188">
        <v>50011</v>
      </c>
      <c r="B234" s="337" t="s">
        <v>700</v>
      </c>
      <c r="C234" s="151">
        <v>31290</v>
      </c>
      <c r="D234" s="290">
        <v>60000</v>
      </c>
      <c r="E234" s="290">
        <v>25000</v>
      </c>
      <c r="F234" s="290">
        <v>26943</v>
      </c>
      <c r="G234" s="57">
        <f t="shared" si="4"/>
        <v>0.8610738255033556</v>
      </c>
      <c r="H234" s="57">
        <f t="shared" si="5"/>
        <v>0.44905</v>
      </c>
      <c r="I234" s="57">
        <f t="shared" si="6"/>
        <v>1.07772</v>
      </c>
    </row>
    <row r="235" spans="1:9" ht="18.75" customHeight="1">
      <c r="A235" s="188">
        <v>50504</v>
      </c>
      <c r="B235" s="337" t="s">
        <v>701</v>
      </c>
      <c r="C235" s="151">
        <v>19036</v>
      </c>
      <c r="D235" s="290">
        <v>60000</v>
      </c>
      <c r="E235" s="290">
        <v>27000</v>
      </c>
      <c r="F235" s="290">
        <v>19509.25</v>
      </c>
      <c r="G235" s="57">
        <f t="shared" si="4"/>
        <v>1.02486079008195</v>
      </c>
      <c r="H235" s="57">
        <f t="shared" si="5"/>
        <v>0.3251541666666667</v>
      </c>
      <c r="I235" s="57">
        <f t="shared" si="6"/>
        <v>0.7225648148148148</v>
      </c>
    </row>
    <row r="236" spans="1:9" ht="18.75" customHeight="1">
      <c r="A236" s="291" t="s">
        <v>754</v>
      </c>
      <c r="B236" s="367" t="s">
        <v>772</v>
      </c>
      <c r="C236" s="151">
        <v>8150</v>
      </c>
      <c r="D236" s="290">
        <v>20000</v>
      </c>
      <c r="E236" s="290">
        <v>10000</v>
      </c>
      <c r="F236" s="290">
        <v>13209</v>
      </c>
      <c r="G236" s="57">
        <f t="shared" si="4"/>
        <v>1.6207361963190183</v>
      </c>
      <c r="H236" s="57">
        <f t="shared" si="5"/>
        <v>0.66045</v>
      </c>
      <c r="I236" s="57">
        <f t="shared" si="6"/>
        <v>1.3209</v>
      </c>
    </row>
    <row r="237" spans="1:9" ht="18.75" customHeight="1">
      <c r="A237" s="188" t="s">
        <v>755</v>
      </c>
      <c r="B237" s="337" t="s">
        <v>702</v>
      </c>
      <c r="C237" s="151">
        <v>26600</v>
      </c>
      <c r="D237" s="290">
        <v>35000</v>
      </c>
      <c r="E237" s="290">
        <v>17500</v>
      </c>
      <c r="F237" s="290">
        <v>19440</v>
      </c>
      <c r="G237" s="57">
        <f t="shared" si="4"/>
        <v>0.7308270676691729</v>
      </c>
      <c r="H237" s="57">
        <f t="shared" si="5"/>
        <v>0.5554285714285714</v>
      </c>
      <c r="I237" s="57">
        <f t="shared" si="6"/>
        <v>1.1108571428571428</v>
      </c>
    </row>
    <row r="238" spans="1:9" ht="18.75" customHeight="1">
      <c r="A238" s="188">
        <v>50502</v>
      </c>
      <c r="B238" s="337" t="s">
        <v>773</v>
      </c>
      <c r="C238" s="151">
        <v>0</v>
      </c>
      <c r="D238" s="290" t="s">
        <v>198</v>
      </c>
      <c r="E238" s="290">
        <v>0</v>
      </c>
      <c r="F238" s="290">
        <v>0</v>
      </c>
      <c r="G238" s="57" t="e">
        <f t="shared" si="4"/>
        <v>#DIV/0!</v>
      </c>
      <c r="H238" s="57" t="e">
        <f t="shared" si="5"/>
        <v>#DIV/0!</v>
      </c>
      <c r="I238" s="57" t="e">
        <f t="shared" si="6"/>
        <v>#DIV/0!</v>
      </c>
    </row>
    <row r="239" spans="1:9" ht="18.75" customHeight="1">
      <c r="A239" s="188"/>
      <c r="B239" s="337" t="s">
        <v>705</v>
      </c>
      <c r="C239" s="151">
        <v>0</v>
      </c>
      <c r="D239" s="290" t="s">
        <v>198</v>
      </c>
      <c r="E239" s="290">
        <v>0</v>
      </c>
      <c r="F239" s="290">
        <v>0</v>
      </c>
      <c r="G239" s="57" t="e">
        <f t="shared" si="4"/>
        <v>#DIV/0!</v>
      </c>
      <c r="H239" s="57" t="e">
        <f t="shared" si="5"/>
        <v>#DIV/0!</v>
      </c>
      <c r="I239" s="57" t="e">
        <f t="shared" si="6"/>
        <v>#DIV/0!</v>
      </c>
    </row>
    <row r="240" spans="1:9" ht="19.5" customHeight="1">
      <c r="A240" s="335"/>
      <c r="B240" s="338" t="s">
        <v>687</v>
      </c>
      <c r="C240" s="164">
        <f>C199+C200+C201+C202+C203+C204+C205+C206+C207+C208+C209+C210+C211+C212+C213+C214+C215+C216+C217+C218+C219+C220+C221+C222+C223+C224+C225+C226+C227+C228+C229+C230+C233++C234+C235+C236+C237+C238+C239</f>
        <v>1056599.77</v>
      </c>
      <c r="D240" s="165">
        <f>D199+D200+D201+D202+D203+D204+D205+D206+D207+D208+D209+D210+D211+D212+D213+D214+D215+D216+D217+D218+D219+D220+D221+D222+D223+D224+D225+D226+D227+D228+D229+D230+D233++D234+D235+D236+D237+D238+D239</f>
        <v>2423400</v>
      </c>
      <c r="E240" s="165">
        <f>E199+E200+E201+E202+E203+E204+E205+E206+E207+E208+E209+E210+E211+E212+E213+E214+E215+E216+E217+E218+E219+E220+E221+E222+E223+E224+E225+E226+E227+E228+E229+E230+E231+E232+E233++E234+E235+E236+E237+E238+E239</f>
        <v>1119595</v>
      </c>
      <c r="F240" s="165">
        <f>F199+F200+F201+F202+F203+F204+F205+F206+F207+F208+F209+F210+F211+F212+F213+F214+F215+F216+F217+F218+F219+F220+F221+F222+F223+F224+F225+F226+F227+F228+F229+F230+F231+F232+F233++F234+F235+F236+F237+F238+F239</f>
        <v>1046574.9199999999</v>
      </c>
      <c r="G240" s="166">
        <f t="shared" si="4"/>
        <v>0.9905121595852703</v>
      </c>
      <c r="H240" s="166">
        <f t="shared" si="5"/>
        <v>0.43186222662375173</v>
      </c>
      <c r="I240" s="166">
        <f t="shared" si="6"/>
        <v>0.9347799159517504</v>
      </c>
    </row>
    <row r="241" spans="1:9" ht="18.75" customHeight="1">
      <c r="A241" s="188">
        <v>50409</v>
      </c>
      <c r="B241" s="174" t="s">
        <v>774</v>
      </c>
      <c r="C241" s="151">
        <v>39161.5</v>
      </c>
      <c r="D241" s="290">
        <v>85000</v>
      </c>
      <c r="E241" s="290">
        <v>42000</v>
      </c>
      <c r="F241" s="290">
        <v>36675</v>
      </c>
      <c r="G241" s="57">
        <f t="shared" si="4"/>
        <v>0.9365065178810822</v>
      </c>
      <c r="H241" s="57">
        <f t="shared" si="5"/>
        <v>0.4314705882352941</v>
      </c>
      <c r="I241" s="57">
        <f t="shared" si="6"/>
        <v>0.8732142857142857</v>
      </c>
    </row>
    <row r="242" spans="1:9" ht="18.75" customHeight="1">
      <c r="A242" s="188">
        <v>50409</v>
      </c>
      <c r="B242" s="174" t="s">
        <v>169</v>
      </c>
      <c r="C242" s="151">
        <v>1320</v>
      </c>
      <c r="D242" s="290">
        <v>1520</v>
      </c>
      <c r="E242" s="290">
        <v>900</v>
      </c>
      <c r="F242" s="290">
        <v>0</v>
      </c>
      <c r="G242" s="57">
        <f t="shared" si="4"/>
        <v>0</v>
      </c>
      <c r="H242" s="57">
        <f t="shared" si="5"/>
        <v>0</v>
      </c>
      <c r="I242" s="57">
        <f t="shared" si="6"/>
        <v>0</v>
      </c>
    </row>
    <row r="243" spans="1:9" ht="18.75" customHeight="1">
      <c r="A243" s="188">
        <v>50409</v>
      </c>
      <c r="B243" s="174" t="s">
        <v>168</v>
      </c>
      <c r="C243" s="151">
        <v>31591</v>
      </c>
      <c r="D243" s="290">
        <v>50000</v>
      </c>
      <c r="E243" s="290">
        <v>33000</v>
      </c>
      <c r="F243" s="290">
        <v>72121</v>
      </c>
      <c r="G243" s="57">
        <f t="shared" si="4"/>
        <v>2.2829603368047864</v>
      </c>
      <c r="H243" s="57">
        <f t="shared" si="5"/>
        <v>1.44242</v>
      </c>
      <c r="I243" s="57">
        <f t="shared" si="6"/>
        <v>2.1854848484848484</v>
      </c>
    </row>
    <row r="244" spans="1:9" ht="18.75" customHeight="1">
      <c r="A244" s="188" t="s">
        <v>756</v>
      </c>
      <c r="B244" s="337" t="s">
        <v>703</v>
      </c>
      <c r="C244" s="151">
        <v>31815.6</v>
      </c>
      <c r="D244" s="290">
        <v>75000</v>
      </c>
      <c r="E244" s="290">
        <v>31800</v>
      </c>
      <c r="F244" s="290">
        <v>52034.9</v>
      </c>
      <c r="G244" s="57">
        <f t="shared" si="4"/>
        <v>1.6355152818114385</v>
      </c>
      <c r="H244" s="57">
        <f t="shared" si="5"/>
        <v>0.6937986666666667</v>
      </c>
      <c r="I244" s="57">
        <f t="shared" si="6"/>
        <v>1.6363176100628931</v>
      </c>
    </row>
    <row r="245" spans="1:9" ht="19.5" customHeight="1">
      <c r="A245" s="336"/>
      <c r="B245" s="339" t="s">
        <v>172</v>
      </c>
      <c r="C245" s="169">
        <f>C240+C241+C242+C243+C244</f>
        <v>1160487.87</v>
      </c>
      <c r="D245" s="170">
        <f>D240+D241+D242+D243+D244</f>
        <v>2634920</v>
      </c>
      <c r="E245" s="170">
        <f>E240+E241+E242+E243+E244</f>
        <v>1227295</v>
      </c>
      <c r="F245" s="170">
        <f>F240+F241+F242+F243+F244</f>
        <v>1207405.8199999998</v>
      </c>
      <c r="G245" s="171">
        <f t="shared" si="4"/>
        <v>1.0404295048771166</v>
      </c>
      <c r="H245" s="171">
        <f t="shared" si="5"/>
        <v>0.45823243969456373</v>
      </c>
      <c r="I245" s="171">
        <f t="shared" si="6"/>
        <v>0.9837942955850059</v>
      </c>
    </row>
    <row r="246" spans="1:9" ht="18.75" customHeight="1">
      <c r="A246" s="188">
        <v>56000</v>
      </c>
      <c r="B246" s="337" t="s">
        <v>775</v>
      </c>
      <c r="C246" s="151">
        <v>0</v>
      </c>
      <c r="D246" s="290" t="s">
        <v>198</v>
      </c>
      <c r="E246" s="290">
        <v>0</v>
      </c>
      <c r="F246" s="290">
        <v>4060.4</v>
      </c>
      <c r="G246" s="57" t="e">
        <f t="shared" si="4"/>
        <v>#DIV/0!</v>
      </c>
      <c r="H246" s="57" t="e">
        <f t="shared" si="5"/>
        <v>#DIV/0!</v>
      </c>
      <c r="I246" s="57" t="e">
        <f t="shared" si="6"/>
        <v>#DIV/0!</v>
      </c>
    </row>
    <row r="247" spans="1:9" ht="18.75" customHeight="1">
      <c r="A247" s="188">
        <v>56000</v>
      </c>
      <c r="B247" s="174" t="s">
        <v>704</v>
      </c>
      <c r="C247" s="151">
        <v>38232.5</v>
      </c>
      <c r="D247" s="290" t="s">
        <v>198</v>
      </c>
      <c r="E247" s="290">
        <v>0</v>
      </c>
      <c r="F247" s="290">
        <f>123436.74-4060.4</f>
        <v>119376.34000000001</v>
      </c>
      <c r="G247" s="57">
        <f t="shared" si="4"/>
        <v>3.122378604590336</v>
      </c>
      <c r="H247" s="57" t="e">
        <f t="shared" si="5"/>
        <v>#DIV/0!</v>
      </c>
      <c r="I247" s="57" t="e">
        <f t="shared" si="6"/>
        <v>#DIV/0!</v>
      </c>
    </row>
    <row r="248" spans="1:9" ht="30.75" customHeight="1" thickBot="1">
      <c r="A248" s="452"/>
      <c r="B248" s="453" t="s">
        <v>838</v>
      </c>
      <c r="C248" s="454">
        <f>C245+C246+C247</f>
        <v>1198720.37</v>
      </c>
      <c r="D248" s="455">
        <f>D245+D246+D247</f>
        <v>2634920</v>
      </c>
      <c r="E248" s="455">
        <f>E245+E246+E247</f>
        <v>1227295</v>
      </c>
      <c r="F248" s="455">
        <f>F245+F246+F247</f>
        <v>1330842.5599999998</v>
      </c>
      <c r="G248" s="456">
        <f t="shared" si="4"/>
        <v>1.110219358331251</v>
      </c>
      <c r="H248" s="456">
        <f t="shared" si="5"/>
        <v>0.5050789245973312</v>
      </c>
      <c r="I248" s="456">
        <f t="shared" si="6"/>
        <v>1.0843705547565987</v>
      </c>
    </row>
    <row r="249" spans="1:9" ht="30.75" customHeight="1">
      <c r="A249" s="334"/>
      <c r="B249" s="478"/>
      <c r="C249" s="479"/>
      <c r="D249" s="479"/>
      <c r="E249" s="479"/>
      <c r="F249" s="479"/>
      <c r="G249" s="480"/>
      <c r="H249" s="480"/>
      <c r="I249" s="430">
        <v>2</v>
      </c>
    </row>
    <row r="250" spans="1:8" ht="19.5" customHeight="1">
      <c r="A250" s="140" t="s">
        <v>668</v>
      </c>
      <c r="B250" s="140"/>
      <c r="C250" s="140"/>
      <c r="D250" s="140"/>
      <c r="E250" s="140"/>
      <c r="F250" s="140"/>
      <c r="G250" s="140"/>
      <c r="H250" s="140"/>
    </row>
    <row r="251" spans="1:8" ht="19.5" customHeight="1">
      <c r="A251" s="140"/>
      <c r="B251" s="140"/>
      <c r="C251" s="140"/>
      <c r="D251" s="140"/>
      <c r="E251" s="140"/>
      <c r="F251" s="140"/>
      <c r="G251" s="140"/>
      <c r="H251" s="140"/>
    </row>
    <row r="252" spans="1:9" ht="19.5" customHeight="1">
      <c r="A252" s="140"/>
      <c r="B252" s="140"/>
      <c r="C252" s="140"/>
      <c r="D252" s="140"/>
      <c r="E252" s="140"/>
      <c r="F252" s="140"/>
      <c r="G252" s="140"/>
      <c r="H252" s="140"/>
      <c r="I252" s="186"/>
    </row>
    <row r="253" spans="1:9" ht="19.5" customHeight="1">
      <c r="A253" s="140"/>
      <c r="B253" s="140"/>
      <c r="C253" s="140"/>
      <c r="D253" s="140"/>
      <c r="E253" s="140"/>
      <c r="F253" s="140"/>
      <c r="G253" s="140"/>
      <c r="H253" s="140"/>
      <c r="I253" s="186"/>
    </row>
    <row r="254" spans="1:9" ht="19.5" customHeight="1">
      <c r="A254" s="140"/>
      <c r="B254" s="140"/>
      <c r="C254" s="140"/>
      <c r="D254" s="140"/>
      <c r="E254" s="140"/>
      <c r="F254" s="140"/>
      <c r="G254" s="140"/>
      <c r="H254" s="140"/>
      <c r="I254" s="186"/>
    </row>
    <row r="255" spans="1:9" ht="19.5" customHeight="1">
      <c r="A255" s="515" t="s">
        <v>937</v>
      </c>
      <c r="B255" s="515"/>
      <c r="C255" s="515"/>
      <c r="D255" s="515"/>
      <c r="E255" s="515"/>
      <c r="F255" s="515"/>
      <c r="G255" s="515"/>
      <c r="H255" s="515"/>
      <c r="I255" s="515"/>
    </row>
    <row r="256" spans="1:9" ht="19.5" customHeight="1">
      <c r="A256" s="515" t="s">
        <v>938</v>
      </c>
      <c r="B256" s="515"/>
      <c r="C256" s="515"/>
      <c r="D256" s="515"/>
      <c r="E256" s="515"/>
      <c r="F256" s="515"/>
      <c r="G256" s="515"/>
      <c r="H256" s="515"/>
      <c r="I256" s="515"/>
    </row>
    <row r="257" spans="1:9" ht="19.5" customHeight="1">
      <c r="A257" s="515" t="s">
        <v>859</v>
      </c>
      <c r="B257" s="515"/>
      <c r="C257" s="515"/>
      <c r="D257" s="515"/>
      <c r="E257" s="515"/>
      <c r="F257" s="515"/>
      <c r="G257" s="515"/>
      <c r="H257" s="515"/>
      <c r="I257" s="515"/>
    </row>
    <row r="258" spans="1:9" ht="19.5" customHeight="1">
      <c r="A258" s="515" t="s">
        <v>936</v>
      </c>
      <c r="B258" s="515"/>
      <c r="C258" s="515"/>
      <c r="D258" s="515"/>
      <c r="E258" s="515"/>
      <c r="F258" s="515"/>
      <c r="G258" s="515"/>
      <c r="H258" s="515"/>
      <c r="I258" s="515"/>
    </row>
    <row r="259" spans="1:9" ht="19.5" customHeight="1">
      <c r="A259" s="515" t="s">
        <v>939</v>
      </c>
      <c r="B259" s="515"/>
      <c r="C259" s="515"/>
      <c r="D259" s="515"/>
      <c r="E259" s="515"/>
      <c r="F259" s="515"/>
      <c r="G259" s="515"/>
      <c r="H259" s="515"/>
      <c r="I259" s="515"/>
    </row>
    <row r="260" spans="1:9" ht="19.5" customHeight="1">
      <c r="A260" s="517" t="s">
        <v>940</v>
      </c>
      <c r="B260" s="517"/>
      <c r="C260" s="517"/>
      <c r="D260" s="517"/>
      <c r="E260" s="517"/>
      <c r="F260" s="517"/>
      <c r="G260" s="517"/>
      <c r="H260" s="517"/>
      <c r="I260" s="517"/>
    </row>
    <row r="261" spans="1:9" ht="19.5" customHeight="1">
      <c r="A261" s="518" t="s">
        <v>941</v>
      </c>
      <c r="B261" s="518"/>
      <c r="C261" s="518"/>
      <c r="D261" s="518"/>
      <c r="E261" s="518"/>
      <c r="F261" s="518"/>
      <c r="G261" s="518"/>
      <c r="H261" s="518"/>
      <c r="I261" s="518"/>
    </row>
    <row r="262" spans="1:9" ht="19.5" customHeight="1">
      <c r="A262" s="135"/>
      <c r="B262" s="518" t="s">
        <v>121</v>
      </c>
      <c r="C262" s="518"/>
      <c r="D262" s="518"/>
      <c r="E262" s="518"/>
      <c r="F262" s="518"/>
      <c r="G262" s="518"/>
      <c r="H262" s="518"/>
      <c r="I262" s="518"/>
    </row>
    <row r="263" spans="1:9" ht="19.5" customHeight="1">
      <c r="A263" s="135"/>
      <c r="B263" s="135"/>
      <c r="C263" s="135"/>
      <c r="D263" s="135"/>
      <c r="E263" s="135"/>
      <c r="F263" s="135"/>
      <c r="G263" s="135"/>
      <c r="I263" s="135"/>
    </row>
    <row r="264" spans="1:9" ht="19.5" customHeight="1">
      <c r="A264" s="173"/>
      <c r="B264" s="173"/>
      <c r="C264" s="517" t="s">
        <v>682</v>
      </c>
      <c r="D264" s="517"/>
      <c r="E264" s="517"/>
      <c r="F264" s="517"/>
      <c r="G264" s="140"/>
      <c r="I264" s="135"/>
    </row>
    <row r="265" spans="1:9" ht="19.5" customHeight="1">
      <c r="A265" s="173"/>
      <c r="B265" s="173"/>
      <c r="C265" s="173"/>
      <c r="D265" s="173"/>
      <c r="E265" s="173"/>
      <c r="F265" s="173"/>
      <c r="G265" s="140"/>
      <c r="H265" s="140"/>
      <c r="I265" s="135"/>
    </row>
    <row r="266" spans="1:9" ht="19.5" customHeight="1">
      <c r="A266" s="22" t="s">
        <v>683</v>
      </c>
      <c r="B266" s="489" t="s">
        <v>688</v>
      </c>
      <c r="C266" s="142" t="s">
        <v>153</v>
      </c>
      <c r="D266" s="143" t="s">
        <v>712</v>
      </c>
      <c r="E266" s="143" t="s">
        <v>152</v>
      </c>
      <c r="F266" s="143" t="s">
        <v>181</v>
      </c>
      <c r="G266" s="512" t="s">
        <v>685</v>
      </c>
      <c r="H266" s="513"/>
      <c r="I266" s="514"/>
    </row>
    <row r="267" spans="1:9" ht="19.5" customHeight="1">
      <c r="A267" s="23" t="s">
        <v>684</v>
      </c>
      <c r="B267" s="490"/>
      <c r="C267" s="144" t="s">
        <v>656</v>
      </c>
      <c r="D267" s="145" t="s">
        <v>715</v>
      </c>
      <c r="E267" s="145" t="s">
        <v>657</v>
      </c>
      <c r="F267" s="145" t="s">
        <v>657</v>
      </c>
      <c r="G267" s="8" t="s">
        <v>178</v>
      </c>
      <c r="H267" s="9" t="s">
        <v>179</v>
      </c>
      <c r="I267" s="8" t="s">
        <v>180</v>
      </c>
    </row>
    <row r="268" spans="1:9" ht="19.5" customHeight="1">
      <c r="A268" s="13">
        <v>1</v>
      </c>
      <c r="B268" s="11">
        <v>2</v>
      </c>
      <c r="C268" s="12">
        <v>3</v>
      </c>
      <c r="D268" s="12">
        <v>4</v>
      </c>
      <c r="E268" s="12">
        <v>5</v>
      </c>
      <c r="F268" s="12">
        <v>6</v>
      </c>
      <c r="G268" s="146">
        <v>7</v>
      </c>
      <c r="H268" s="146">
        <v>8</v>
      </c>
      <c r="I268" s="187">
        <v>9</v>
      </c>
    </row>
    <row r="269" spans="1:9" ht="19.5" customHeight="1">
      <c r="A269" s="188">
        <v>16019</v>
      </c>
      <c r="B269" s="313" t="s">
        <v>145</v>
      </c>
      <c r="C269" s="290">
        <v>0</v>
      </c>
      <c r="D269" s="290">
        <v>0</v>
      </c>
      <c r="E269" s="290">
        <v>0</v>
      </c>
      <c r="F269" s="290">
        <v>0</v>
      </c>
      <c r="G269" s="57" t="e">
        <f>F269/C269</f>
        <v>#DIV/0!</v>
      </c>
      <c r="H269" s="57" t="e">
        <f>F269/D269</f>
        <v>#DIV/0!</v>
      </c>
      <c r="I269" s="57" t="e">
        <f>F269/E269</f>
        <v>#DIV/0!</v>
      </c>
    </row>
    <row r="270" spans="1:9" ht="19.5" customHeight="1">
      <c r="A270" s="188" t="s">
        <v>669</v>
      </c>
      <c r="B270" s="174" t="s">
        <v>1144</v>
      </c>
      <c r="C270" s="290">
        <v>75622.5</v>
      </c>
      <c r="D270" s="290">
        <v>194000</v>
      </c>
      <c r="E270" s="290">
        <v>90125</v>
      </c>
      <c r="F270" s="290">
        <v>65294.5</v>
      </c>
      <c r="G270" s="57">
        <f>F270/C270</f>
        <v>0.8634268901451287</v>
      </c>
      <c r="H270" s="56">
        <f>F270/D270</f>
        <v>0.33656958762886596</v>
      </c>
      <c r="I270" s="57">
        <f aca="true" t="shared" si="7" ref="I270:I282">F270/E270</f>
        <v>0.7244882108183079</v>
      </c>
    </row>
    <row r="271" spans="1:9" ht="19.5" customHeight="1">
      <c r="A271" s="188" t="s">
        <v>675</v>
      </c>
      <c r="B271" s="174" t="s">
        <v>146</v>
      </c>
      <c r="C271" s="290">
        <v>18257</v>
      </c>
      <c r="D271" s="290">
        <v>84300</v>
      </c>
      <c r="E271" s="290">
        <v>45900</v>
      </c>
      <c r="F271" s="290">
        <v>12045</v>
      </c>
      <c r="G271" s="57">
        <f>F271/C271</f>
        <v>0.6597469463767323</v>
      </c>
      <c r="H271" s="57">
        <f>F271/D271</f>
        <v>0.14288256227758006</v>
      </c>
      <c r="I271" s="57">
        <f t="shared" si="7"/>
        <v>0.2624183006535948</v>
      </c>
    </row>
    <row r="272" spans="1:9" ht="19.5" customHeight="1">
      <c r="A272" s="188">
        <v>16795</v>
      </c>
      <c r="B272" s="174" t="s">
        <v>74</v>
      </c>
      <c r="C272" s="290">
        <v>3670</v>
      </c>
      <c r="D272" s="290">
        <v>10500</v>
      </c>
      <c r="E272" s="290">
        <v>5300</v>
      </c>
      <c r="F272" s="290">
        <v>3780</v>
      </c>
      <c r="G272" s="57">
        <f aca="true" t="shared" si="8" ref="G272:G294">F272/C272</f>
        <v>1.0299727520435968</v>
      </c>
      <c r="H272" s="57">
        <f aca="true" t="shared" si="9" ref="H272:H294">F272/D272</f>
        <v>0.36</v>
      </c>
      <c r="I272" s="57">
        <f t="shared" si="7"/>
        <v>0.7132075471698113</v>
      </c>
    </row>
    <row r="273" spans="1:9" ht="19.5" customHeight="1">
      <c r="A273" s="188">
        <v>16919</v>
      </c>
      <c r="B273" s="174" t="s">
        <v>512</v>
      </c>
      <c r="C273" s="290">
        <v>0</v>
      </c>
      <c r="D273" s="290">
        <v>0</v>
      </c>
      <c r="E273" s="290">
        <v>0</v>
      </c>
      <c r="F273" s="290">
        <v>0</v>
      </c>
      <c r="G273" s="57" t="e">
        <f t="shared" si="8"/>
        <v>#DIV/0!</v>
      </c>
      <c r="H273" s="57" t="e">
        <f t="shared" si="9"/>
        <v>#DIV/0!</v>
      </c>
      <c r="I273" s="57" t="e">
        <f t="shared" si="7"/>
        <v>#DIV/0!</v>
      </c>
    </row>
    <row r="274" spans="1:9" ht="19.5" customHeight="1">
      <c r="A274" s="188" t="s">
        <v>672</v>
      </c>
      <c r="B274" s="174" t="s">
        <v>673</v>
      </c>
      <c r="C274" s="290">
        <v>576304.84</v>
      </c>
      <c r="D274" s="290">
        <v>1170350</v>
      </c>
      <c r="E274" s="290">
        <v>560150</v>
      </c>
      <c r="F274" s="290">
        <v>601212.48</v>
      </c>
      <c r="G274" s="57">
        <f t="shared" si="8"/>
        <v>1.0432195572051763</v>
      </c>
      <c r="H274" s="57">
        <f t="shared" si="9"/>
        <v>0.5137031486307515</v>
      </c>
      <c r="I274" s="57">
        <f t="shared" si="7"/>
        <v>1.0733062215477998</v>
      </c>
    </row>
    <row r="275" spans="1:9" ht="19.5" customHeight="1">
      <c r="A275" s="188" t="s">
        <v>674</v>
      </c>
      <c r="B275" s="174" t="s">
        <v>77</v>
      </c>
      <c r="C275" s="290">
        <v>30583.4</v>
      </c>
      <c r="D275" s="290">
        <f>45000+36000</f>
        <v>81000</v>
      </c>
      <c r="E275" s="290">
        <v>40500</v>
      </c>
      <c r="F275" s="290">
        <v>15122.63</v>
      </c>
      <c r="G275" s="57">
        <f t="shared" si="8"/>
        <v>0.49447183766356906</v>
      </c>
      <c r="H275" s="57">
        <f t="shared" si="9"/>
        <v>0.18669913580246913</v>
      </c>
      <c r="I275" s="57">
        <f t="shared" si="7"/>
        <v>0.37339827160493827</v>
      </c>
    </row>
    <row r="276" spans="1:9" ht="19.5" customHeight="1">
      <c r="A276" s="188">
        <v>18295</v>
      </c>
      <c r="B276" s="174" t="s">
        <v>78</v>
      </c>
      <c r="C276" s="290">
        <v>0</v>
      </c>
      <c r="D276" s="290" t="str">
        <f>D238</f>
        <v>0.00</v>
      </c>
      <c r="E276" s="290">
        <v>0</v>
      </c>
      <c r="F276" s="290">
        <v>0</v>
      </c>
      <c r="G276" s="57" t="e">
        <f t="shared" si="8"/>
        <v>#DIV/0!</v>
      </c>
      <c r="H276" s="57" t="e">
        <f t="shared" si="9"/>
        <v>#DIV/0!</v>
      </c>
      <c r="I276" s="57" t="e">
        <f t="shared" si="7"/>
        <v>#DIV/0!</v>
      </c>
    </row>
    <row r="277" spans="1:9" ht="19.5" customHeight="1">
      <c r="A277" s="24">
        <v>19595</v>
      </c>
      <c r="B277" s="309" t="s">
        <v>79</v>
      </c>
      <c r="C277" s="290">
        <v>0</v>
      </c>
      <c r="D277" s="290" t="str">
        <f>D239</f>
        <v>0.00</v>
      </c>
      <c r="E277" s="290">
        <v>0</v>
      </c>
      <c r="F277" s="290">
        <v>0</v>
      </c>
      <c r="G277" s="57" t="e">
        <f t="shared" si="8"/>
        <v>#DIV/0!</v>
      </c>
      <c r="H277" s="57" t="e">
        <f t="shared" si="9"/>
        <v>#DIV/0!</v>
      </c>
      <c r="I277" s="57" t="e">
        <f t="shared" si="7"/>
        <v>#DIV/0!</v>
      </c>
    </row>
    <row r="278" spans="1:9" ht="19.5" customHeight="1">
      <c r="A278" s="24">
        <v>47019</v>
      </c>
      <c r="B278" s="309" t="s">
        <v>80</v>
      </c>
      <c r="C278" s="290">
        <v>2469</v>
      </c>
      <c r="D278" s="290">
        <v>17700</v>
      </c>
      <c r="E278" s="290">
        <v>5400</v>
      </c>
      <c r="F278" s="290">
        <v>10477.69</v>
      </c>
      <c r="G278" s="57">
        <f>F278/C278</f>
        <v>4.243697853381936</v>
      </c>
      <c r="H278" s="57">
        <f>F278/D278</f>
        <v>0.5919598870056497</v>
      </c>
      <c r="I278" s="57">
        <f t="shared" si="7"/>
        <v>1.940312962962963</v>
      </c>
    </row>
    <row r="279" spans="1:9" ht="19.5" customHeight="1">
      <c r="A279" s="24">
        <v>48019</v>
      </c>
      <c r="B279" s="309" t="s">
        <v>81</v>
      </c>
      <c r="C279" s="290">
        <v>12790</v>
      </c>
      <c r="D279" s="290">
        <v>25550</v>
      </c>
      <c r="E279" s="290">
        <v>12788</v>
      </c>
      <c r="F279" s="290">
        <v>13435</v>
      </c>
      <c r="G279" s="57">
        <f>F279/C279</f>
        <v>1.0504300234558248</v>
      </c>
      <c r="H279" s="57">
        <f>F279/D279</f>
        <v>0.5258317025440313</v>
      </c>
      <c r="I279" s="57">
        <f t="shared" si="7"/>
        <v>1.0505943071629653</v>
      </c>
    </row>
    <row r="280" spans="1:9" ht="19.5" customHeight="1">
      <c r="A280" s="24">
        <v>65095</v>
      </c>
      <c r="B280" s="309" t="s">
        <v>82</v>
      </c>
      <c r="C280" s="290">
        <v>85076</v>
      </c>
      <c r="D280" s="290">
        <f>60000+60000+20000+35000</f>
        <v>175000</v>
      </c>
      <c r="E280" s="290">
        <v>79500</v>
      </c>
      <c r="F280" s="290">
        <f>82983.43-3882.18</f>
        <v>79101.25</v>
      </c>
      <c r="G280" s="57">
        <f>F280/C280</f>
        <v>0.9297716159669002</v>
      </c>
      <c r="H280" s="57">
        <f>F280/D280</f>
        <v>0.45200714285714283</v>
      </c>
      <c r="I280" s="57">
        <f t="shared" si="7"/>
        <v>0.9949842767295598</v>
      </c>
    </row>
    <row r="281" spans="1:9" ht="20.25" customHeight="1">
      <c r="A281" s="24">
        <v>65495</v>
      </c>
      <c r="B281" s="309" t="s">
        <v>910</v>
      </c>
      <c r="C281" s="290">
        <v>29632.42</v>
      </c>
      <c r="D281" s="290">
        <v>20000</v>
      </c>
      <c r="E281" s="290">
        <v>15002</v>
      </c>
      <c r="F281" s="290">
        <v>3882.18</v>
      </c>
      <c r="G281" s="57">
        <f>F281/C281</f>
        <v>0.13101123701675396</v>
      </c>
      <c r="H281" s="57">
        <f>F281/D281</f>
        <v>0.194109</v>
      </c>
      <c r="I281" s="57">
        <f t="shared" si="7"/>
        <v>0.25877749633382213</v>
      </c>
    </row>
    <row r="282" spans="1:9" ht="20.25" customHeight="1">
      <c r="A282" s="24">
        <v>66100</v>
      </c>
      <c r="B282" s="309" t="s">
        <v>84</v>
      </c>
      <c r="C282" s="290">
        <v>216120.61</v>
      </c>
      <c r="D282" s="290">
        <f>570000+20000+50000</f>
        <v>640000</v>
      </c>
      <c r="E282" s="290">
        <v>262330</v>
      </c>
      <c r="F282" s="290">
        <v>232185.94</v>
      </c>
      <c r="G282" s="57">
        <f>F282/C282</f>
        <v>1.0743350206164974</v>
      </c>
      <c r="H282" s="57">
        <f>F282/D282</f>
        <v>0.36279053125</v>
      </c>
      <c r="I282" s="57">
        <f t="shared" si="7"/>
        <v>0.8850910685015058</v>
      </c>
    </row>
    <row r="283" spans="1:9" ht="27" customHeight="1">
      <c r="A283" s="182"/>
      <c r="B283" s="310" t="s">
        <v>85</v>
      </c>
      <c r="C283" s="311">
        <f>C284+C285+C286</f>
        <v>31815.6</v>
      </c>
      <c r="D283" s="311">
        <f>D284+D285+D286</f>
        <v>75000</v>
      </c>
      <c r="E283" s="311">
        <f>E284+E285+E286</f>
        <v>31800</v>
      </c>
      <c r="F283" s="311">
        <f>F284+F285+F286</f>
        <v>52034.9</v>
      </c>
      <c r="G283" s="180">
        <f t="shared" si="8"/>
        <v>1.6355152818114385</v>
      </c>
      <c r="H283" s="180">
        <f t="shared" si="9"/>
        <v>0.6937986666666667</v>
      </c>
      <c r="I283" s="180">
        <f aca="true" t="shared" si="10" ref="I283:I301">F283/E283</f>
        <v>1.6363176100628931</v>
      </c>
    </row>
    <row r="284" spans="1:9" ht="20.25" customHeight="1">
      <c r="A284" s="24">
        <v>73028</v>
      </c>
      <c r="B284" s="309" t="s">
        <v>86</v>
      </c>
      <c r="C284" s="440">
        <v>0</v>
      </c>
      <c r="D284" s="332">
        <v>0</v>
      </c>
      <c r="E284" s="332">
        <v>0</v>
      </c>
      <c r="F284" s="312">
        <v>0</v>
      </c>
      <c r="G284" s="154" t="e">
        <f t="shared" si="8"/>
        <v>#DIV/0!</v>
      </c>
      <c r="H284" s="154" t="e">
        <f t="shared" si="9"/>
        <v>#DIV/0!</v>
      </c>
      <c r="I284" s="154" t="e">
        <f t="shared" si="10"/>
        <v>#DIV/0!</v>
      </c>
    </row>
    <row r="285" spans="1:9" ht="20.25" customHeight="1">
      <c r="A285" s="24">
        <v>74100</v>
      </c>
      <c r="B285" s="309" t="s">
        <v>87</v>
      </c>
      <c r="C285" s="440">
        <v>31815.6</v>
      </c>
      <c r="D285" s="332">
        <v>75000</v>
      </c>
      <c r="E285" s="332">
        <v>31800</v>
      </c>
      <c r="F285" s="312">
        <v>52034.9</v>
      </c>
      <c r="G285" s="154">
        <f t="shared" si="8"/>
        <v>1.6355152818114385</v>
      </c>
      <c r="H285" s="154">
        <f t="shared" si="9"/>
        <v>0.6937986666666667</v>
      </c>
      <c r="I285" s="154">
        <f t="shared" si="10"/>
        <v>1.6363176100628931</v>
      </c>
    </row>
    <row r="286" spans="1:9" ht="20.25" customHeight="1">
      <c r="A286" s="24">
        <v>75590</v>
      </c>
      <c r="B286" s="309" t="s">
        <v>88</v>
      </c>
      <c r="C286" s="440">
        <v>0</v>
      </c>
      <c r="D286" s="332">
        <v>0</v>
      </c>
      <c r="E286" s="332">
        <v>0</v>
      </c>
      <c r="F286" s="312">
        <v>0</v>
      </c>
      <c r="G286" s="154" t="e">
        <f t="shared" si="8"/>
        <v>#DIV/0!</v>
      </c>
      <c r="H286" s="154" t="e">
        <f t="shared" si="9"/>
        <v>#DIV/0!</v>
      </c>
      <c r="I286" s="154" t="e">
        <f t="shared" si="10"/>
        <v>#DIV/0!</v>
      </c>
    </row>
    <row r="287" spans="1:9" ht="20.25" customHeight="1">
      <c r="A287" s="24">
        <v>76095</v>
      </c>
      <c r="B287" s="309" t="s">
        <v>89</v>
      </c>
      <c r="C287" s="440">
        <v>0</v>
      </c>
      <c r="D287" s="332">
        <v>0</v>
      </c>
      <c r="E287" s="332">
        <v>0</v>
      </c>
      <c r="F287" s="312">
        <v>0</v>
      </c>
      <c r="G287" s="154" t="e">
        <f t="shared" si="8"/>
        <v>#DIV/0!</v>
      </c>
      <c r="H287" s="154" t="e">
        <f t="shared" si="9"/>
        <v>#DIV/0!</v>
      </c>
      <c r="I287" s="154" t="e">
        <f t="shared" si="10"/>
        <v>#DIV/0!</v>
      </c>
    </row>
    <row r="288" spans="1:9" ht="20.25" customHeight="1">
      <c r="A288" s="24">
        <v>85019</v>
      </c>
      <c r="B288" s="309" t="s">
        <v>90</v>
      </c>
      <c r="C288" s="290">
        <v>6074</v>
      </c>
      <c r="D288" s="290">
        <f>D206+D207</f>
        <v>5000</v>
      </c>
      <c r="E288" s="290">
        <v>2600</v>
      </c>
      <c r="F288" s="153">
        <v>10038.25</v>
      </c>
      <c r="G288" s="154">
        <f>F288/C288</f>
        <v>1.652658873888706</v>
      </c>
      <c r="H288" s="154">
        <f>F288/D288</f>
        <v>2.00765</v>
      </c>
      <c r="I288" s="154">
        <f t="shared" si="10"/>
        <v>3.8608653846153844</v>
      </c>
    </row>
    <row r="289" spans="1:9" ht="27" customHeight="1">
      <c r="A289" s="182"/>
      <c r="B289" s="310" t="s">
        <v>91</v>
      </c>
      <c r="C289" s="311">
        <f>C290+C291+C292+C293</f>
        <v>72072.5</v>
      </c>
      <c r="D289" s="311">
        <f>D290+D291+D292+D293</f>
        <v>136520</v>
      </c>
      <c r="E289" s="311">
        <f>E290+E291+E292+E293</f>
        <v>75900</v>
      </c>
      <c r="F289" s="311">
        <f>F290+F291+F292+F293</f>
        <v>108796</v>
      </c>
      <c r="G289" s="180">
        <f t="shared" si="8"/>
        <v>1.5095355371327484</v>
      </c>
      <c r="H289" s="180">
        <f t="shared" si="9"/>
        <v>0.7969235276882508</v>
      </c>
      <c r="I289" s="180">
        <f t="shared" si="10"/>
        <v>1.4334123847167326</v>
      </c>
    </row>
    <row r="290" spans="1:9" ht="20.25" customHeight="1">
      <c r="A290" s="24">
        <v>92095</v>
      </c>
      <c r="B290" s="309" t="s">
        <v>86</v>
      </c>
      <c r="C290" s="440">
        <v>0</v>
      </c>
      <c r="D290" s="332">
        <v>0</v>
      </c>
      <c r="E290" s="332">
        <v>0</v>
      </c>
      <c r="F290" s="312">
        <v>0</v>
      </c>
      <c r="G290" s="154" t="e">
        <f t="shared" si="8"/>
        <v>#DIV/0!</v>
      </c>
      <c r="H290" s="154" t="e">
        <f t="shared" si="9"/>
        <v>#DIV/0!</v>
      </c>
      <c r="I290" s="154" t="e">
        <f t="shared" si="10"/>
        <v>#DIV/0!</v>
      </c>
    </row>
    <row r="291" spans="1:9" ht="20.25" customHeight="1">
      <c r="A291" s="24">
        <v>92570</v>
      </c>
      <c r="B291" s="309" t="s">
        <v>92</v>
      </c>
      <c r="C291" s="440">
        <v>39161.5</v>
      </c>
      <c r="D291" s="332">
        <v>85000</v>
      </c>
      <c r="E291" s="332">
        <v>42000</v>
      </c>
      <c r="F291" s="332">
        <v>36675</v>
      </c>
      <c r="G291" s="154">
        <f t="shared" si="8"/>
        <v>0.9365065178810822</v>
      </c>
      <c r="H291" s="154">
        <f t="shared" si="9"/>
        <v>0.4314705882352941</v>
      </c>
      <c r="I291" s="154">
        <f t="shared" si="10"/>
        <v>0.8732142857142857</v>
      </c>
    </row>
    <row r="292" spans="1:9" ht="20.25" customHeight="1">
      <c r="A292" s="24">
        <v>93540</v>
      </c>
      <c r="B292" s="309" t="s">
        <v>93</v>
      </c>
      <c r="C292" s="440">
        <v>1320</v>
      </c>
      <c r="D292" s="332">
        <v>1520</v>
      </c>
      <c r="E292" s="332">
        <v>900</v>
      </c>
      <c r="F292" s="312">
        <v>0</v>
      </c>
      <c r="G292" s="154">
        <f t="shared" si="8"/>
        <v>0</v>
      </c>
      <c r="H292" s="154">
        <f t="shared" si="9"/>
        <v>0</v>
      </c>
      <c r="I292" s="154">
        <f t="shared" si="10"/>
        <v>0</v>
      </c>
    </row>
    <row r="293" spans="1:9" ht="20.25" customHeight="1">
      <c r="A293" s="24">
        <v>94740</v>
      </c>
      <c r="B293" s="309" t="s">
        <v>94</v>
      </c>
      <c r="C293" s="440">
        <v>31591</v>
      </c>
      <c r="D293" s="332">
        <v>50000</v>
      </c>
      <c r="E293" s="332">
        <v>33000</v>
      </c>
      <c r="F293" s="312">
        <v>72121</v>
      </c>
      <c r="G293" s="154">
        <f t="shared" si="8"/>
        <v>2.2829603368047864</v>
      </c>
      <c r="H293" s="154">
        <f t="shared" si="9"/>
        <v>1.44242</v>
      </c>
      <c r="I293" s="154">
        <f t="shared" si="10"/>
        <v>2.1854848484848484</v>
      </c>
    </row>
    <row r="294" spans="1:9" ht="39" customHeight="1">
      <c r="A294" s="35" t="s">
        <v>477</v>
      </c>
      <c r="B294" s="310" t="s">
        <v>726</v>
      </c>
      <c r="C294" s="311">
        <f>C269+C270+C271+C272+C273+C274+C275+C276+C277+C278+C279+C280+C281+C282+C283+C287+C288+C289</f>
        <v>1160487.87</v>
      </c>
      <c r="D294" s="311">
        <f>D269+D270+D271+D272+D273+D274+D275+D276+D277+D278+D279+D280+D281+D282+D283+D287+D288+D289</f>
        <v>2634920</v>
      </c>
      <c r="E294" s="311">
        <f>E269+E270+E271+E272+E273+E274+E275+E276+E277+E278+E279+E280+E281+E282+E283+E287+E288+E289</f>
        <v>1227295</v>
      </c>
      <c r="F294" s="319">
        <f>F269+F270+F271+F272+F273+F274+F275+F276+F277+F278+F279+F280+F281+F282+F283+F287+F288+F289</f>
        <v>1207405.8199999998</v>
      </c>
      <c r="G294" s="180">
        <f t="shared" si="8"/>
        <v>1.0404295048771166</v>
      </c>
      <c r="H294" s="180">
        <f t="shared" si="9"/>
        <v>0.45823243969456373</v>
      </c>
      <c r="I294" s="180">
        <f t="shared" si="10"/>
        <v>0.9837942955850059</v>
      </c>
    </row>
    <row r="295" spans="1:9" ht="35.25" customHeight="1">
      <c r="A295" s="321" t="s">
        <v>478</v>
      </c>
      <c r="B295" s="320" t="s">
        <v>704</v>
      </c>
      <c r="C295" s="324">
        <f>C296+C297+C298+C300</f>
        <v>38232.5</v>
      </c>
      <c r="D295" s="324">
        <f>D296+D298+D300</f>
        <v>0</v>
      </c>
      <c r="E295" s="324">
        <f>E296+E298+E300</f>
        <v>0</v>
      </c>
      <c r="F295" s="330">
        <f>F296+F297+F298+F299+F300</f>
        <v>123436.73999999999</v>
      </c>
      <c r="G295" s="326">
        <f aca="true" t="shared" si="11" ref="G295:G301">F295/C295</f>
        <v>3.228581442490028</v>
      </c>
      <c r="H295" s="331" t="e">
        <f aca="true" t="shared" si="12" ref="H295:H301">F295/D295</f>
        <v>#DIV/0!</v>
      </c>
      <c r="I295" s="326" t="e">
        <f t="shared" si="10"/>
        <v>#DIV/0!</v>
      </c>
    </row>
    <row r="296" spans="1:9" ht="20.25" customHeight="1">
      <c r="A296" s="318"/>
      <c r="B296" s="334" t="s">
        <v>91</v>
      </c>
      <c r="C296" s="438">
        <v>10000</v>
      </c>
      <c r="D296" s="437">
        <v>0</v>
      </c>
      <c r="E296" s="325">
        <v>0</v>
      </c>
      <c r="F296" s="423">
        <v>1247.4</v>
      </c>
      <c r="G296" s="328">
        <f t="shared" si="11"/>
        <v>0.12474</v>
      </c>
      <c r="H296" s="327" t="e">
        <f t="shared" si="12"/>
        <v>#DIV/0!</v>
      </c>
      <c r="I296" s="328" t="e">
        <f t="shared" si="10"/>
        <v>#DIV/0!</v>
      </c>
    </row>
    <row r="297" spans="1:9" ht="20.25" customHeight="1">
      <c r="A297" s="318"/>
      <c r="B297" s="334" t="s">
        <v>731</v>
      </c>
      <c r="C297" s="438">
        <v>19912.5</v>
      </c>
      <c r="D297" s="437">
        <v>0</v>
      </c>
      <c r="E297" s="325">
        <v>0</v>
      </c>
      <c r="F297" s="323">
        <v>118128.94</v>
      </c>
      <c r="G297" s="328">
        <f t="shared" si="11"/>
        <v>5.932401255492781</v>
      </c>
      <c r="H297" s="327" t="e">
        <f t="shared" si="12"/>
        <v>#DIV/0!</v>
      </c>
      <c r="I297" s="328" t="e">
        <f t="shared" si="10"/>
        <v>#DIV/0!</v>
      </c>
    </row>
    <row r="298" spans="1:9" ht="20.25" customHeight="1">
      <c r="A298" s="318"/>
      <c r="B298" s="322" t="s">
        <v>76</v>
      </c>
      <c r="C298" s="438">
        <v>1000</v>
      </c>
      <c r="D298" s="437">
        <v>0</v>
      </c>
      <c r="E298" s="325">
        <v>0</v>
      </c>
      <c r="F298" s="323">
        <v>0</v>
      </c>
      <c r="G298" s="328">
        <f t="shared" si="11"/>
        <v>0</v>
      </c>
      <c r="H298" s="327" t="e">
        <f t="shared" si="12"/>
        <v>#DIV/0!</v>
      </c>
      <c r="I298" s="328" t="e">
        <f t="shared" si="10"/>
        <v>#DIV/0!</v>
      </c>
    </row>
    <row r="299" spans="1:9" ht="20.25" customHeight="1">
      <c r="A299" s="318"/>
      <c r="B299" s="322" t="s">
        <v>77</v>
      </c>
      <c r="C299" s="438">
        <v>0</v>
      </c>
      <c r="D299" s="437">
        <v>0</v>
      </c>
      <c r="E299" s="325">
        <v>0</v>
      </c>
      <c r="F299" s="323">
        <v>4060.4</v>
      </c>
      <c r="G299" s="328" t="e">
        <f>F299/C299</f>
        <v>#DIV/0!</v>
      </c>
      <c r="H299" s="327" t="e">
        <f>F299/D299</f>
        <v>#DIV/0!</v>
      </c>
      <c r="I299" s="328"/>
    </row>
    <row r="300" spans="1:9" ht="20.25" customHeight="1">
      <c r="A300" s="306"/>
      <c r="B300" s="322" t="s">
        <v>1144</v>
      </c>
      <c r="C300" s="439">
        <v>7320</v>
      </c>
      <c r="D300" s="437">
        <v>0</v>
      </c>
      <c r="E300" s="325">
        <v>0</v>
      </c>
      <c r="F300" s="323">
        <v>0</v>
      </c>
      <c r="G300" s="329">
        <f t="shared" si="11"/>
        <v>0</v>
      </c>
      <c r="H300" s="327" t="e">
        <f t="shared" si="12"/>
        <v>#DIV/0!</v>
      </c>
      <c r="I300" s="329" t="e">
        <f t="shared" si="10"/>
        <v>#DIV/0!</v>
      </c>
    </row>
    <row r="301" spans="1:9" ht="35.25" customHeight="1" thickBot="1">
      <c r="A301" s="340" t="s">
        <v>725</v>
      </c>
      <c r="B301" s="341" t="s">
        <v>919</v>
      </c>
      <c r="C301" s="342">
        <f>C294+C295</f>
        <v>1198720.37</v>
      </c>
      <c r="D301" s="342">
        <f>D294+D295</f>
        <v>2634920</v>
      </c>
      <c r="E301" s="342">
        <f>E294+E295</f>
        <v>1227295</v>
      </c>
      <c r="F301" s="342">
        <f>F294+F295</f>
        <v>1330842.5599999998</v>
      </c>
      <c r="G301" s="343">
        <f t="shared" si="11"/>
        <v>1.110219358331251</v>
      </c>
      <c r="H301" s="343">
        <f t="shared" si="12"/>
        <v>0.5050789245973312</v>
      </c>
      <c r="I301" s="343">
        <f t="shared" si="10"/>
        <v>1.0843705547565987</v>
      </c>
    </row>
    <row r="302" spans="1:9" ht="20.25" customHeight="1">
      <c r="A302" s="135"/>
      <c r="B302" s="135"/>
      <c r="C302" s="135"/>
      <c r="D302" s="135"/>
      <c r="E302" s="135"/>
      <c r="F302" s="135"/>
      <c r="G302" s="135"/>
      <c r="I302" s="135"/>
    </row>
    <row r="303" spans="1:9" ht="20.25" customHeight="1">
      <c r="A303" s="140"/>
      <c r="B303" s="516" t="s">
        <v>860</v>
      </c>
      <c r="C303" s="516"/>
      <c r="D303" s="516"/>
      <c r="E303" s="516"/>
      <c r="F303" s="516"/>
      <c r="G303" s="516"/>
      <c r="H303" s="516"/>
      <c r="I303" s="516"/>
    </row>
    <row r="304" spans="1:9" ht="20.25" customHeight="1">
      <c r="A304" s="509" t="s">
        <v>841</v>
      </c>
      <c r="B304" s="509"/>
      <c r="C304" s="509"/>
      <c r="D304" s="509"/>
      <c r="E304" s="509"/>
      <c r="F304" s="509"/>
      <c r="G304" s="509"/>
      <c r="H304" s="509"/>
      <c r="I304" s="509"/>
    </row>
    <row r="305" spans="1:9" ht="20.25" customHeight="1">
      <c r="A305" s="509" t="s">
        <v>861</v>
      </c>
      <c r="B305" s="509"/>
      <c r="C305" s="509"/>
      <c r="D305" s="509"/>
      <c r="E305" s="509"/>
      <c r="F305" s="509"/>
      <c r="G305" s="509"/>
      <c r="H305" s="509"/>
      <c r="I305" s="509"/>
    </row>
    <row r="306" spans="1:9" ht="20.25" customHeight="1">
      <c r="A306" s="135"/>
      <c r="B306" s="135"/>
      <c r="C306" s="135"/>
      <c r="D306" s="135"/>
      <c r="E306" s="135"/>
      <c r="F306" s="114"/>
      <c r="G306" s="135"/>
      <c r="I306" s="135"/>
    </row>
    <row r="307" spans="1:9" ht="20.25" customHeight="1">
      <c r="A307" s="135"/>
      <c r="B307" s="135"/>
      <c r="C307" s="141"/>
      <c r="D307" s="141"/>
      <c r="F307" s="141"/>
      <c r="G307" s="135"/>
      <c r="I307" s="135"/>
    </row>
    <row r="308" spans="1:9" ht="20.25" customHeight="1">
      <c r="A308" s="135"/>
      <c r="B308" s="135"/>
      <c r="G308" s="135"/>
      <c r="I308" s="135"/>
    </row>
    <row r="309" spans="1:7" ht="20.25" customHeight="1">
      <c r="A309" s="135"/>
      <c r="B309" s="135"/>
      <c r="C309" s="135"/>
      <c r="D309" s="135"/>
      <c r="E309" s="135"/>
      <c r="F309" s="135"/>
      <c r="G309" s="135"/>
    </row>
    <row r="310" spans="1:9" ht="20.25" customHeight="1">
      <c r="A310" s="135"/>
      <c r="B310" s="135"/>
      <c r="C310" s="135"/>
      <c r="D310" s="135"/>
      <c r="E310" s="135"/>
      <c r="F310" s="135"/>
      <c r="G310" s="135"/>
      <c r="I310" s="443">
        <v>3</v>
      </c>
    </row>
    <row r="311" spans="1:9" ht="20.25" customHeight="1">
      <c r="A311" s="135"/>
      <c r="B311" s="135"/>
      <c r="C311" s="135"/>
      <c r="D311" s="135"/>
      <c r="E311" s="135"/>
      <c r="F311" s="135"/>
      <c r="G311" s="135"/>
      <c r="I311" s="443"/>
    </row>
    <row r="312" ht="20.25" customHeight="1"/>
    <row r="313" spans="1:9" ht="20.25" customHeight="1">
      <c r="A313" s="202"/>
      <c r="B313" s="202"/>
      <c r="C313" s="202"/>
      <c r="D313" s="202"/>
      <c r="E313" s="141"/>
      <c r="F313" s="141"/>
      <c r="G313" s="141"/>
      <c r="H313" s="141"/>
      <c r="I313" s="272"/>
    </row>
    <row r="314" spans="1:9" ht="30" customHeight="1">
      <c r="A314" s="634" t="s">
        <v>465</v>
      </c>
      <c r="B314" s="634"/>
      <c r="C314" s="634"/>
      <c r="D314" s="634"/>
      <c r="E314" s="634"/>
      <c r="F314" s="634"/>
      <c r="G314" s="634"/>
      <c r="H314" s="634"/>
      <c r="I314" s="634"/>
    </row>
    <row r="315" spans="1:9" ht="21.75" customHeight="1">
      <c r="A315" s="475"/>
      <c r="B315" s="475"/>
      <c r="C315" s="475"/>
      <c r="D315" s="475"/>
      <c r="E315" s="475"/>
      <c r="F315" s="475"/>
      <c r="G315" s="475"/>
      <c r="H315" s="475"/>
      <c r="I315" s="475"/>
    </row>
    <row r="316" spans="1:9" ht="20.25" customHeight="1">
      <c r="A316" s="2"/>
      <c r="B316" s="2"/>
      <c r="C316" s="2"/>
      <c r="D316" s="2"/>
      <c r="E316" s="2"/>
      <c r="F316" s="2"/>
      <c r="G316" s="2"/>
      <c r="H316" s="2"/>
      <c r="I316" s="141"/>
    </row>
    <row r="317" spans="1:9" ht="20.25" customHeight="1">
      <c r="A317" s="1" t="s">
        <v>709</v>
      </c>
      <c r="B317" s="503" t="s">
        <v>299</v>
      </c>
      <c r="C317" s="503"/>
      <c r="D317" s="503"/>
      <c r="E317" s="503"/>
      <c r="F317" s="503"/>
      <c r="G317" s="503"/>
      <c r="H317" s="503"/>
      <c r="I317" s="503"/>
    </row>
    <row r="318" spans="1:9" ht="20.25" customHeight="1">
      <c r="A318" s="503" t="s">
        <v>214</v>
      </c>
      <c r="B318" s="503"/>
      <c r="C318" s="503"/>
      <c r="D318" s="503"/>
      <c r="E318" s="503"/>
      <c r="F318" s="503"/>
      <c r="G318" s="503"/>
      <c r="H318" s="503"/>
      <c r="I318" s="503"/>
    </row>
    <row r="319" spans="1:9" ht="20.25" customHeight="1">
      <c r="A319" s="503" t="s">
        <v>300</v>
      </c>
      <c r="B319" s="503"/>
      <c r="C319" s="503"/>
      <c r="D319" s="503"/>
      <c r="E319" s="503"/>
      <c r="F319" s="503"/>
      <c r="G319" s="503"/>
      <c r="H319" s="503"/>
      <c r="I319" s="503"/>
    </row>
    <row r="320" spans="1:9" ht="20.25" customHeight="1">
      <c r="A320" s="503" t="s">
        <v>483</v>
      </c>
      <c r="B320" s="503"/>
      <c r="C320" s="503"/>
      <c r="D320" s="503"/>
      <c r="E320" s="503"/>
      <c r="F320" s="503"/>
      <c r="G320" s="503"/>
      <c r="H320" s="503"/>
      <c r="I320" s="503"/>
    </row>
    <row r="321" spans="1:12" ht="20.25" customHeight="1">
      <c r="A321" s="503" t="s">
        <v>213</v>
      </c>
      <c r="B321" s="503"/>
      <c r="C321" s="503"/>
      <c r="D321" s="503"/>
      <c r="E321" s="503"/>
      <c r="F321" s="503"/>
      <c r="G321" s="503"/>
      <c r="H321" s="503"/>
      <c r="I321" s="503"/>
      <c r="L321" s="344"/>
    </row>
    <row r="322" spans="1:9" ht="20.25" customHeight="1">
      <c r="A322" s="503" t="s">
        <v>301</v>
      </c>
      <c r="B322" s="503"/>
      <c r="C322" s="503"/>
      <c r="D322" s="503"/>
      <c r="E322" s="503"/>
      <c r="F322" s="503"/>
      <c r="G322" s="503"/>
      <c r="H322" s="503"/>
      <c r="I322" s="503"/>
    </row>
    <row r="323" spans="1:9" ht="20.25" customHeight="1">
      <c r="A323" s="2"/>
      <c r="B323" s="2"/>
      <c r="C323" s="2"/>
      <c r="D323" s="488" t="s">
        <v>682</v>
      </c>
      <c r="E323" s="488"/>
      <c r="F323" s="488"/>
      <c r="G323" s="2"/>
      <c r="H323" s="2"/>
      <c r="I323" s="135"/>
    </row>
    <row r="324" spans="1:9" ht="20.25" customHeight="1">
      <c r="A324" s="2"/>
      <c r="B324" s="2"/>
      <c r="C324" s="2"/>
      <c r="D324" s="2"/>
      <c r="E324" s="2"/>
      <c r="F324" s="2"/>
      <c r="G324" s="2"/>
      <c r="H324" s="2"/>
      <c r="I324" s="135"/>
    </row>
    <row r="325" spans="1:9" ht="20.25" customHeight="1">
      <c r="A325" s="489" t="s">
        <v>710</v>
      </c>
      <c r="B325" s="491" t="s">
        <v>711</v>
      </c>
      <c r="C325" s="492"/>
      <c r="D325" s="5" t="s">
        <v>686</v>
      </c>
      <c r="E325" s="5" t="s">
        <v>712</v>
      </c>
      <c r="F325" s="5" t="s">
        <v>686</v>
      </c>
      <c r="G325" s="510" t="s">
        <v>713</v>
      </c>
      <c r="H325" s="511"/>
      <c r="I325" s="6" t="s">
        <v>100</v>
      </c>
    </row>
    <row r="326" spans="1:9" ht="20.25" customHeight="1">
      <c r="A326" s="490"/>
      <c r="B326" s="493"/>
      <c r="C326" s="494"/>
      <c r="D326" s="7" t="s">
        <v>656</v>
      </c>
      <c r="E326" s="7" t="s">
        <v>715</v>
      </c>
      <c r="F326" s="7" t="s">
        <v>657</v>
      </c>
      <c r="G326" s="8" t="s">
        <v>706</v>
      </c>
      <c r="H326" s="9" t="s">
        <v>707</v>
      </c>
      <c r="I326" s="10" t="s">
        <v>717</v>
      </c>
    </row>
    <row r="327" spans="1:9" ht="20.25" customHeight="1">
      <c r="A327" s="11">
        <v>1</v>
      </c>
      <c r="B327" s="535">
        <v>2</v>
      </c>
      <c r="C327" s="536"/>
      <c r="D327" s="12">
        <v>3</v>
      </c>
      <c r="E327" s="12">
        <v>4</v>
      </c>
      <c r="F327" s="12">
        <v>5</v>
      </c>
      <c r="G327" s="12">
        <v>6</v>
      </c>
      <c r="H327" s="12">
        <v>7</v>
      </c>
      <c r="I327" s="13">
        <v>8</v>
      </c>
    </row>
    <row r="328" spans="1:9" ht="20.25" customHeight="1">
      <c r="A328" s="4">
        <v>10</v>
      </c>
      <c r="B328" s="504" t="s">
        <v>718</v>
      </c>
      <c r="C328" s="505"/>
      <c r="D328" s="201">
        <v>5665293.47</v>
      </c>
      <c r="E328" s="200">
        <f>10163622+1798812+532800+3054692</f>
        <v>15549926</v>
      </c>
      <c r="F328" s="25">
        <v>6275045.1</v>
      </c>
      <c r="G328" s="15">
        <f>F328/D328</f>
        <v>1.107629310507722</v>
      </c>
      <c r="H328" s="15">
        <f>G328/E328</f>
        <v>7.123051971486694E-08</v>
      </c>
      <c r="I328" s="16">
        <f>F328/F333</f>
        <v>0.856478947512511</v>
      </c>
    </row>
    <row r="329" spans="1:9" ht="20.25" customHeight="1">
      <c r="A329" s="4">
        <v>21</v>
      </c>
      <c r="B329" s="504" t="s">
        <v>719</v>
      </c>
      <c r="C329" s="505"/>
      <c r="D329" s="201">
        <v>495109.7</v>
      </c>
      <c r="E329" s="14">
        <f>120234+123708+284000+2106978</f>
        <v>2634920</v>
      </c>
      <c r="F329" s="25">
        <v>471948.41</v>
      </c>
      <c r="G329" s="15">
        <f>F329/D329</f>
        <v>0.9532198823816216</v>
      </c>
      <c r="H329" s="15">
        <f>F329/E329</f>
        <v>0.1791129939428901</v>
      </c>
      <c r="I329" s="16">
        <f>F329/F333</f>
        <v>0.0644160912049864</v>
      </c>
    </row>
    <row r="330" spans="1:9" ht="20.25" customHeight="1">
      <c r="A330" s="4">
        <v>22</v>
      </c>
      <c r="B330" s="504" t="s">
        <v>720</v>
      </c>
      <c r="C330" s="505"/>
      <c r="D330" s="201">
        <v>489587.64</v>
      </c>
      <c r="E330" s="14">
        <v>0</v>
      </c>
      <c r="F330" s="25">
        <v>516358.74</v>
      </c>
      <c r="G330" s="15">
        <f>F330/D330</f>
        <v>1.0546809147387788</v>
      </c>
      <c r="H330" s="15" t="e">
        <f>F330/E330</f>
        <v>#DIV/0!</v>
      </c>
      <c r="I330" s="16">
        <f>F330/F333</f>
        <v>0.07047764328802773</v>
      </c>
    </row>
    <row r="331" spans="1:9" ht="20.25" customHeight="1">
      <c r="A331" s="4">
        <v>31</v>
      </c>
      <c r="B331" s="504" t="s">
        <v>66</v>
      </c>
      <c r="C331" s="505"/>
      <c r="D331" s="201">
        <v>3000</v>
      </c>
      <c r="E331" s="14">
        <v>0</v>
      </c>
      <c r="F331" s="25">
        <v>0</v>
      </c>
      <c r="G331" s="15">
        <f>F331/D331</f>
        <v>0</v>
      </c>
      <c r="H331" s="15" t="e">
        <f>F331/E331</f>
        <v>#DIV/0!</v>
      </c>
      <c r="I331" s="16">
        <f>F331/F333</f>
        <v>0</v>
      </c>
    </row>
    <row r="332" spans="1:9" ht="20.25" customHeight="1">
      <c r="A332" s="4" t="s">
        <v>67</v>
      </c>
      <c r="B332" s="504" t="s">
        <v>68</v>
      </c>
      <c r="C332" s="505"/>
      <c r="D332" s="14">
        <v>53936.38</v>
      </c>
      <c r="E332" s="14">
        <v>0</v>
      </c>
      <c r="F332" s="25">
        <f>10616.2+624+624+7.6+344.8+203.13+480+1826.2+19260+354+2.5+724.45+6.27+16.1+1586.92+1345.48+52+31.6+7005+371.51+8932.88+483.9+29.1+27+27+1162.1+780.15+5282.88+615.8+386</f>
        <v>63208.56999999999</v>
      </c>
      <c r="G332" s="15">
        <f>F332/D332</f>
        <v>1.1719097573845334</v>
      </c>
      <c r="H332" s="15" t="e">
        <f>F332/E332</f>
        <v>#DIV/0!</v>
      </c>
      <c r="I332" s="16">
        <f>F332/F333</f>
        <v>0.008627317994474793</v>
      </c>
    </row>
    <row r="333" spans="1:11" ht="30" customHeight="1">
      <c r="A333" s="17"/>
      <c r="B333" s="548" t="s">
        <v>69</v>
      </c>
      <c r="C333" s="549"/>
      <c r="D333" s="19">
        <f>D328+D329+D330+D331+D332</f>
        <v>6706927.1899999995</v>
      </c>
      <c r="E333" s="19">
        <f>E328+E329+E330+E331+E332</f>
        <v>18184846</v>
      </c>
      <c r="F333" s="18">
        <f>F328+F329+F330+F331+F332</f>
        <v>7326560.82</v>
      </c>
      <c r="G333" s="20">
        <f>F333/D333</f>
        <v>1.092387111481376</v>
      </c>
      <c r="H333" s="20">
        <f>F333/E333</f>
        <v>0.4028937512036121</v>
      </c>
      <c r="I333" s="21">
        <f>I328+I329+I330+I331+I332</f>
        <v>0.9999999999999999</v>
      </c>
      <c r="K333" s="369"/>
    </row>
    <row r="334" spans="1:9" ht="20.25" customHeight="1">
      <c r="A334" s="2"/>
      <c r="B334" s="2"/>
      <c r="C334" s="2"/>
      <c r="D334" s="2"/>
      <c r="E334" s="2"/>
      <c r="F334" s="2"/>
      <c r="G334" s="2"/>
      <c r="H334" s="2"/>
      <c r="I334" s="135"/>
    </row>
    <row r="335" spans="1:11" ht="20.25" customHeight="1">
      <c r="A335" s="503" t="s">
        <v>595</v>
      </c>
      <c r="B335" s="503"/>
      <c r="C335" s="503"/>
      <c r="D335" s="503"/>
      <c r="E335" s="503"/>
      <c r="F335" s="503"/>
      <c r="G335" s="503"/>
      <c r="H335" s="503"/>
      <c r="I335" s="503"/>
      <c r="K335" s="370"/>
    </row>
    <row r="336" spans="1:9" ht="20.25" customHeight="1">
      <c r="A336" s="488" t="s">
        <v>302</v>
      </c>
      <c r="B336" s="488"/>
      <c r="C336" s="488"/>
      <c r="D336" s="488"/>
      <c r="E336" s="488"/>
      <c r="F336" s="488"/>
      <c r="G336" s="488"/>
      <c r="H336" s="488"/>
      <c r="I336" s="488"/>
    </row>
    <row r="337" spans="1:9" ht="20.25" customHeight="1">
      <c r="A337" s="503" t="s">
        <v>596</v>
      </c>
      <c r="B337" s="503"/>
      <c r="C337" s="503"/>
      <c r="D337" s="503"/>
      <c r="E337" s="503"/>
      <c r="F337" s="503"/>
      <c r="G337" s="503"/>
      <c r="H337" s="503"/>
      <c r="I337" s="503"/>
    </row>
    <row r="338" spans="1:9" ht="20.25" customHeight="1">
      <c r="A338" s="503" t="s">
        <v>219</v>
      </c>
      <c r="B338" s="503"/>
      <c r="C338" s="503"/>
      <c r="D338" s="503"/>
      <c r="E338" s="503"/>
      <c r="F338" s="503"/>
      <c r="G338" s="503"/>
      <c r="H338" s="503"/>
      <c r="I338" s="503"/>
    </row>
    <row r="339" spans="1:9" ht="20.25" customHeight="1">
      <c r="A339" s="503" t="s">
        <v>597</v>
      </c>
      <c r="B339" s="503"/>
      <c r="C339" s="503"/>
      <c r="D339" s="503"/>
      <c r="E339" s="503"/>
      <c r="F339" s="503"/>
      <c r="G339" s="503"/>
      <c r="H339" s="503"/>
      <c r="I339" s="503"/>
    </row>
    <row r="340" spans="1:9" ht="20.25" customHeight="1">
      <c r="A340" s="503" t="s">
        <v>221</v>
      </c>
      <c r="B340" s="503"/>
      <c r="C340" s="503"/>
      <c r="D340" s="503"/>
      <c r="E340" s="503"/>
      <c r="F340" s="503"/>
      <c r="G340" s="503"/>
      <c r="H340" s="503"/>
      <c r="I340" s="503"/>
    </row>
    <row r="341" spans="1:9" ht="20.25" customHeight="1">
      <c r="A341" s="2"/>
      <c r="B341" s="2"/>
      <c r="D341" s="488" t="s">
        <v>70</v>
      </c>
      <c r="E341" s="488"/>
      <c r="F341" s="488"/>
      <c r="G341" s="2"/>
      <c r="H341" s="2"/>
      <c r="I341" s="135"/>
    </row>
    <row r="342" spans="1:9" ht="20.25" customHeight="1">
      <c r="A342" s="2"/>
      <c r="B342" s="2"/>
      <c r="C342" s="2"/>
      <c r="D342" s="2"/>
      <c r="E342" s="2"/>
      <c r="F342" s="2"/>
      <c r="G342" s="2"/>
      <c r="H342" s="2"/>
      <c r="I342" s="135"/>
    </row>
    <row r="343" spans="1:9" ht="20.25" customHeight="1">
      <c r="A343" s="22" t="s">
        <v>683</v>
      </c>
      <c r="B343" s="491" t="s">
        <v>688</v>
      </c>
      <c r="C343" s="492"/>
      <c r="D343" s="5" t="s">
        <v>686</v>
      </c>
      <c r="E343" s="5" t="s">
        <v>712</v>
      </c>
      <c r="F343" s="5" t="s">
        <v>686</v>
      </c>
      <c r="G343" s="510" t="s">
        <v>713</v>
      </c>
      <c r="H343" s="511"/>
      <c r="I343" s="6" t="s">
        <v>714</v>
      </c>
    </row>
    <row r="344" spans="1:9" ht="20.25" customHeight="1">
      <c r="A344" s="23" t="s">
        <v>684</v>
      </c>
      <c r="B344" s="493"/>
      <c r="C344" s="494"/>
      <c r="D344" s="7" t="s">
        <v>656</v>
      </c>
      <c r="E344" s="7" t="s">
        <v>715</v>
      </c>
      <c r="F344" s="7" t="s">
        <v>657</v>
      </c>
      <c r="G344" s="8" t="s">
        <v>706</v>
      </c>
      <c r="H344" s="9" t="s">
        <v>707</v>
      </c>
      <c r="I344" s="10" t="s">
        <v>717</v>
      </c>
    </row>
    <row r="345" spans="1:9" ht="20.25" customHeight="1">
      <c r="A345" s="13">
        <v>1</v>
      </c>
      <c r="B345" s="535">
        <v>2</v>
      </c>
      <c r="C345" s="536"/>
      <c r="D345" s="12">
        <v>3</v>
      </c>
      <c r="E345" s="12">
        <v>4</v>
      </c>
      <c r="F345" s="12">
        <v>5</v>
      </c>
      <c r="G345" s="12">
        <v>6</v>
      </c>
      <c r="H345" s="12">
        <v>7</v>
      </c>
      <c r="I345" s="13">
        <v>8</v>
      </c>
    </row>
    <row r="346" spans="1:9" ht="20.25" customHeight="1">
      <c r="A346" s="71">
        <v>16019</v>
      </c>
      <c r="B346" s="566" t="s">
        <v>145</v>
      </c>
      <c r="C346" s="567"/>
      <c r="D346" s="398">
        <v>673542.85</v>
      </c>
      <c r="E346" s="25">
        <v>1068322.88</v>
      </c>
      <c r="F346" s="25">
        <v>416247.11</v>
      </c>
      <c r="G346" s="26">
        <f>F346/D346</f>
        <v>0.6179964793628201</v>
      </c>
      <c r="H346" s="27">
        <f>F346/E346</f>
        <v>0.389626692259928</v>
      </c>
      <c r="I346" s="16">
        <f>F346/F371</f>
        <v>0.05681343815009782</v>
      </c>
    </row>
    <row r="347" spans="1:9" ht="20.25" customHeight="1">
      <c r="A347" s="71">
        <v>16319</v>
      </c>
      <c r="B347" s="566" t="s">
        <v>72</v>
      </c>
      <c r="C347" s="567"/>
      <c r="D347" s="398">
        <v>299377.22</v>
      </c>
      <c r="E347" s="25">
        <v>661526</v>
      </c>
      <c r="F347" s="25">
        <v>404759.34</v>
      </c>
      <c r="G347" s="26">
        <f aca="true" t="shared" si="13" ref="G347:G370">F347/D347</f>
        <v>1.352004471148473</v>
      </c>
      <c r="H347" s="27">
        <f aca="true" t="shared" si="14" ref="H347:H370">F347/E347</f>
        <v>0.6118570396326071</v>
      </c>
      <c r="I347" s="16">
        <f>F347/F371</f>
        <v>0.05524547600766385</v>
      </c>
    </row>
    <row r="348" spans="1:9" ht="20.25" customHeight="1">
      <c r="A348" s="71">
        <v>16637</v>
      </c>
      <c r="B348" s="566" t="s">
        <v>73</v>
      </c>
      <c r="C348" s="567"/>
      <c r="D348" s="399">
        <v>72626.5</v>
      </c>
      <c r="E348" s="25">
        <v>175500</v>
      </c>
      <c r="F348" s="25">
        <v>80621.42</v>
      </c>
      <c r="G348" s="26">
        <f t="shared" si="13"/>
        <v>1.1100826833180726</v>
      </c>
      <c r="H348" s="27">
        <f t="shared" si="14"/>
        <v>0.45938131054131054</v>
      </c>
      <c r="I348" s="16">
        <f>F348/F371</f>
        <v>0.011003992457132157</v>
      </c>
    </row>
    <row r="349" spans="1:9" ht="20.25" customHeight="1">
      <c r="A349" s="71">
        <v>16795</v>
      </c>
      <c r="B349" s="566" t="s">
        <v>74</v>
      </c>
      <c r="C349" s="567"/>
      <c r="D349" s="398">
        <v>9706.01</v>
      </c>
      <c r="E349" s="25">
        <v>35000</v>
      </c>
      <c r="F349" s="25">
        <v>13198.04</v>
      </c>
      <c r="G349" s="26">
        <f t="shared" si="13"/>
        <v>1.3597801774364544</v>
      </c>
      <c r="H349" s="27">
        <f t="shared" si="14"/>
        <v>0.37708685714285717</v>
      </c>
      <c r="I349" s="16">
        <f>F349/F371</f>
        <v>0.0018013963610282295</v>
      </c>
    </row>
    <row r="350" spans="1:9" ht="20.25" customHeight="1">
      <c r="A350" s="71">
        <v>16919</v>
      </c>
      <c r="B350" s="566" t="s">
        <v>75</v>
      </c>
      <c r="C350" s="567"/>
      <c r="D350" s="398">
        <v>56501.25</v>
      </c>
      <c r="E350" s="25">
        <v>143590</v>
      </c>
      <c r="F350" s="25">
        <v>60424.45</v>
      </c>
      <c r="G350" s="26">
        <f t="shared" si="13"/>
        <v>1.069435631955045</v>
      </c>
      <c r="H350" s="27">
        <f t="shared" si="14"/>
        <v>0.42081238247788844</v>
      </c>
      <c r="I350" s="16">
        <f>F350/F371</f>
        <v>0.008247314324485468</v>
      </c>
    </row>
    <row r="351" spans="1:9" ht="20.25" customHeight="1">
      <c r="A351" s="71">
        <v>17519</v>
      </c>
      <c r="B351" s="566" t="s">
        <v>76</v>
      </c>
      <c r="C351" s="567"/>
      <c r="D351" s="398">
        <v>74394.38</v>
      </c>
      <c r="E351" s="25">
        <v>217000</v>
      </c>
      <c r="F351" s="25">
        <v>165919.33</v>
      </c>
      <c r="G351" s="26">
        <f t="shared" si="13"/>
        <v>2.2302669905979453</v>
      </c>
      <c r="H351" s="27">
        <f t="shared" si="14"/>
        <v>0.7646052073732719</v>
      </c>
      <c r="I351" s="16">
        <f>F351/F371</f>
        <v>0.022646277575021887</v>
      </c>
    </row>
    <row r="352" spans="1:9" ht="20.25" customHeight="1">
      <c r="A352" s="71">
        <v>18019</v>
      </c>
      <c r="B352" s="566" t="s">
        <v>77</v>
      </c>
      <c r="C352" s="567"/>
      <c r="D352" s="398">
        <v>995363.72</v>
      </c>
      <c r="E352" s="25">
        <v>3584269.12</v>
      </c>
      <c r="F352" s="25">
        <v>747526.23</v>
      </c>
      <c r="G352" s="26">
        <f t="shared" si="13"/>
        <v>0.7510081138983045</v>
      </c>
      <c r="H352" s="27">
        <f t="shared" si="14"/>
        <v>0.20855750641849125</v>
      </c>
      <c r="I352" s="16">
        <f>F352/F371</f>
        <v>0.10202962186015128</v>
      </c>
    </row>
    <row r="353" spans="1:9" ht="20.25" customHeight="1">
      <c r="A353" s="71">
        <v>18295</v>
      </c>
      <c r="B353" s="566" t="s">
        <v>78</v>
      </c>
      <c r="C353" s="567"/>
      <c r="D353" s="398">
        <v>117727.06</v>
      </c>
      <c r="E353" s="25">
        <v>396000</v>
      </c>
      <c r="F353" s="25">
        <v>245904.35</v>
      </c>
      <c r="G353" s="26">
        <f t="shared" si="13"/>
        <v>2.0887665928292103</v>
      </c>
      <c r="H353" s="27">
        <f t="shared" si="14"/>
        <v>0.6209705808080809</v>
      </c>
      <c r="I353" s="16">
        <f>F353/F371</f>
        <v>0.03356340799474862</v>
      </c>
    </row>
    <row r="354" spans="1:9" ht="20.25" customHeight="1">
      <c r="A354" s="71">
        <v>19595</v>
      </c>
      <c r="B354" s="566" t="s">
        <v>79</v>
      </c>
      <c r="C354" s="567"/>
      <c r="D354" s="398">
        <v>18524.44</v>
      </c>
      <c r="E354" s="25">
        <v>179700</v>
      </c>
      <c r="F354" s="25">
        <v>78593.87</v>
      </c>
      <c r="G354" s="26">
        <f t="shared" si="13"/>
        <v>4.242712330305261</v>
      </c>
      <c r="H354" s="27">
        <f t="shared" si="14"/>
        <v>0.43736154702281577</v>
      </c>
      <c r="I354" s="16">
        <f>F354/F371</f>
        <v>0.01072725279034809</v>
      </c>
    </row>
    <row r="355" spans="1:9" ht="20.25" customHeight="1">
      <c r="A355" s="71">
        <v>47019</v>
      </c>
      <c r="B355" s="566" t="s">
        <v>80</v>
      </c>
      <c r="C355" s="567"/>
      <c r="D355" s="398">
        <v>40012.29</v>
      </c>
      <c r="E355" s="25">
        <v>327000</v>
      </c>
      <c r="F355" s="25">
        <v>43293.97</v>
      </c>
      <c r="G355" s="26">
        <f t="shared" si="13"/>
        <v>1.082016800338096</v>
      </c>
      <c r="H355" s="27">
        <f t="shared" si="14"/>
        <v>0.13239746177370032</v>
      </c>
      <c r="I355" s="16">
        <f>F355/F371</f>
        <v>0.005909180455011906</v>
      </c>
    </row>
    <row r="356" spans="1:9" ht="20.25" customHeight="1">
      <c r="A356" s="71">
        <v>48019</v>
      </c>
      <c r="B356" s="566" t="s">
        <v>81</v>
      </c>
      <c r="C356" s="567"/>
      <c r="D356" s="398">
        <v>55286.31</v>
      </c>
      <c r="E356" s="25">
        <v>88400</v>
      </c>
      <c r="F356" s="25">
        <v>72872.49</v>
      </c>
      <c r="G356" s="26">
        <f t="shared" si="13"/>
        <v>1.3180928515576462</v>
      </c>
      <c r="H356" s="27">
        <f t="shared" si="14"/>
        <v>0.8243494343891403</v>
      </c>
      <c r="I356" s="16">
        <f>F356/F371</f>
        <v>0.00994634341955821</v>
      </c>
    </row>
    <row r="357" spans="1:9" ht="20.25" customHeight="1">
      <c r="A357" s="71">
        <v>65095</v>
      </c>
      <c r="B357" s="566" t="s">
        <v>82</v>
      </c>
      <c r="C357" s="567"/>
      <c r="D357" s="398">
        <v>50585.47</v>
      </c>
      <c r="E357" s="25">
        <v>161189</v>
      </c>
      <c r="F357" s="25">
        <v>45824.48</v>
      </c>
      <c r="G357" s="26">
        <f t="shared" si="13"/>
        <v>0.9058822622385441</v>
      </c>
      <c r="H357" s="27">
        <f t="shared" si="14"/>
        <v>0.2842903672086805</v>
      </c>
      <c r="I357" s="16">
        <f>F357/F371</f>
        <v>0.006254568975242602</v>
      </c>
    </row>
    <row r="358" spans="1:9" ht="20.25" customHeight="1">
      <c r="A358" s="71">
        <v>65495</v>
      </c>
      <c r="B358" s="566" t="s">
        <v>910</v>
      </c>
      <c r="C358" s="567"/>
      <c r="D358" s="398">
        <v>6866.37</v>
      </c>
      <c r="E358" s="25">
        <v>31000</v>
      </c>
      <c r="F358" s="25">
        <v>11160.01</v>
      </c>
      <c r="G358" s="26">
        <f t="shared" si="13"/>
        <v>1.6253143946510311</v>
      </c>
      <c r="H358" s="27">
        <f t="shared" si="14"/>
        <v>0.3600003225806452</v>
      </c>
      <c r="I358" s="16">
        <f>F358/F371</f>
        <v>0.0015232262823145443</v>
      </c>
    </row>
    <row r="359" spans="1:9" ht="20.25" customHeight="1">
      <c r="A359" s="71">
        <v>66100</v>
      </c>
      <c r="B359" s="566" t="s">
        <v>84</v>
      </c>
      <c r="C359" s="567"/>
      <c r="D359" s="398">
        <v>25634.64</v>
      </c>
      <c r="E359" s="25">
        <v>221000</v>
      </c>
      <c r="F359" s="25">
        <v>97552.11</v>
      </c>
      <c r="G359" s="26">
        <f t="shared" si="13"/>
        <v>3.8054800067408787</v>
      </c>
      <c r="H359" s="27">
        <f t="shared" si="14"/>
        <v>0.4414122624434389</v>
      </c>
      <c r="I359" s="16">
        <f>F359/F371</f>
        <v>0.013314857051852058</v>
      </c>
    </row>
    <row r="360" spans="1:9" ht="22.5" customHeight="1">
      <c r="A360" s="35"/>
      <c r="B360" s="530" t="s">
        <v>85</v>
      </c>
      <c r="C360" s="531"/>
      <c r="D360" s="345">
        <f>D361+D362+D363</f>
        <v>1061349.95</v>
      </c>
      <c r="E360" s="36">
        <f>E361+E362+E363</f>
        <v>2526081</v>
      </c>
      <c r="F360" s="85">
        <f>F361+F362+F363</f>
        <v>1194495.75</v>
      </c>
      <c r="G360" s="37">
        <f t="shared" si="13"/>
        <v>1.1254494806354869</v>
      </c>
      <c r="H360" s="38">
        <f t="shared" si="14"/>
        <v>0.4728651812827855</v>
      </c>
      <c r="I360" s="21">
        <f>F360/F371</f>
        <v>0.16303635216393386</v>
      </c>
    </row>
    <row r="361" spans="1:9" ht="20.25" customHeight="1">
      <c r="A361" s="24">
        <v>73028</v>
      </c>
      <c r="B361" s="483" t="s">
        <v>86</v>
      </c>
      <c r="C361" s="484"/>
      <c r="D361" s="398">
        <v>9348.96</v>
      </c>
      <c r="E361" s="25">
        <v>41168</v>
      </c>
      <c r="F361" s="25">
        <v>15515.95</v>
      </c>
      <c r="G361" s="26">
        <f t="shared" si="13"/>
        <v>1.6596444952165805</v>
      </c>
      <c r="H361" s="27">
        <f t="shared" si="14"/>
        <v>0.37689346094053633</v>
      </c>
      <c r="I361" s="16">
        <f>F361/F360</f>
        <v>0.012989539728374924</v>
      </c>
    </row>
    <row r="362" spans="1:9" ht="20.25" customHeight="1">
      <c r="A362" s="24">
        <v>74100</v>
      </c>
      <c r="B362" s="483" t="s">
        <v>87</v>
      </c>
      <c r="C362" s="484"/>
      <c r="D362" s="398">
        <v>1001477.33</v>
      </c>
      <c r="E362" s="25">
        <v>2315913</v>
      </c>
      <c r="F362" s="25">
        <v>1104505.04</v>
      </c>
      <c r="G362" s="26">
        <f t="shared" si="13"/>
        <v>1.1028757285998676</v>
      </c>
      <c r="H362" s="27">
        <f t="shared" si="14"/>
        <v>0.47691991883978374</v>
      </c>
      <c r="I362" s="16">
        <f>F362/F360</f>
        <v>0.9246621764874425</v>
      </c>
    </row>
    <row r="363" spans="1:9" ht="20.25" customHeight="1">
      <c r="A363" s="24">
        <v>75590</v>
      </c>
      <c r="B363" s="483" t="s">
        <v>88</v>
      </c>
      <c r="C363" s="484"/>
      <c r="D363" s="398">
        <v>50523.66</v>
      </c>
      <c r="E363" s="25">
        <v>169000</v>
      </c>
      <c r="F363" s="25">
        <v>74474.76</v>
      </c>
      <c r="G363" s="26">
        <f t="shared" si="13"/>
        <v>1.474057105126588</v>
      </c>
      <c r="H363" s="27">
        <f t="shared" si="14"/>
        <v>0.44067905325443785</v>
      </c>
      <c r="I363" s="16">
        <f>F363/F360</f>
        <v>0.06234828378418257</v>
      </c>
    </row>
    <row r="364" spans="1:9" ht="20.25" customHeight="1">
      <c r="A364" s="24">
        <v>76095</v>
      </c>
      <c r="B364" s="483" t="s">
        <v>89</v>
      </c>
      <c r="C364" s="484"/>
      <c r="D364" s="398">
        <v>0</v>
      </c>
      <c r="E364" s="25">
        <v>0</v>
      </c>
      <c r="F364" s="25">
        <v>0</v>
      </c>
      <c r="G364" s="15" t="e">
        <f t="shared" si="13"/>
        <v>#DIV/0!</v>
      </c>
      <c r="H364" s="16" t="e">
        <f t="shared" si="14"/>
        <v>#DIV/0!</v>
      </c>
      <c r="I364" s="16">
        <f>E364/E360</f>
        <v>0</v>
      </c>
    </row>
    <row r="365" spans="1:9" ht="20.25" customHeight="1">
      <c r="A365" s="24">
        <v>85019</v>
      </c>
      <c r="B365" s="483" t="s">
        <v>90</v>
      </c>
      <c r="C365" s="484"/>
      <c r="D365" s="398">
        <v>127315.22</v>
      </c>
      <c r="E365" s="25">
        <v>529300</v>
      </c>
      <c r="F365" s="25">
        <v>285331.63</v>
      </c>
      <c r="G365" s="26">
        <f t="shared" si="13"/>
        <v>2.2411431249146805</v>
      </c>
      <c r="H365" s="27">
        <f t="shared" si="14"/>
        <v>0.5390735499716607</v>
      </c>
      <c r="I365" s="16">
        <f>F365/F371</f>
        <v>0.038944825138297286</v>
      </c>
    </row>
    <row r="366" spans="1:9" ht="22.5" customHeight="1">
      <c r="A366" s="35"/>
      <c r="B366" s="530" t="s">
        <v>91</v>
      </c>
      <c r="C366" s="531"/>
      <c r="D366" s="346">
        <f>D367+D368+D369+D370</f>
        <v>3019957.81</v>
      </c>
      <c r="E366" s="36">
        <f>E367+E368+E369+E370</f>
        <v>7839968</v>
      </c>
      <c r="F366" s="36">
        <f>F367+F368+F369+F370</f>
        <v>3362836.24</v>
      </c>
      <c r="G366" s="37">
        <f t="shared" si="13"/>
        <v>1.113537490114804</v>
      </c>
      <c r="H366" s="38">
        <f t="shared" si="14"/>
        <v>0.4289349446324271</v>
      </c>
      <c r="I366" s="21">
        <f>F366/F371</f>
        <v>0.45899246899311213</v>
      </c>
    </row>
    <row r="367" spans="1:9" ht="20.25" customHeight="1">
      <c r="A367" s="24">
        <v>92095</v>
      </c>
      <c r="B367" s="483" t="s">
        <v>86</v>
      </c>
      <c r="C367" s="484"/>
      <c r="D367" s="398">
        <v>101325.56</v>
      </c>
      <c r="E367" s="25">
        <v>551032.8</v>
      </c>
      <c r="F367" s="25">
        <v>266508.98</v>
      </c>
      <c r="G367" s="26">
        <f t="shared" si="13"/>
        <v>2.6302245948603686</v>
      </c>
      <c r="H367" s="27">
        <f t="shared" si="14"/>
        <v>0.48365356835382567</v>
      </c>
      <c r="I367" s="16">
        <f>F367/F366</f>
        <v>0.079251251318738</v>
      </c>
    </row>
    <row r="368" spans="1:9" ht="20.25" customHeight="1">
      <c r="A368" s="24">
        <v>92570</v>
      </c>
      <c r="B368" s="483" t="s">
        <v>92</v>
      </c>
      <c r="C368" s="484"/>
      <c r="D368" s="398">
        <v>134990.41</v>
      </c>
      <c r="E368" s="25">
        <v>316360</v>
      </c>
      <c r="F368" s="25">
        <v>139194.08</v>
      </c>
      <c r="G368" s="26">
        <f t="shared" si="13"/>
        <v>1.0311405084257466</v>
      </c>
      <c r="H368" s="27">
        <f t="shared" si="14"/>
        <v>0.43998634467062836</v>
      </c>
      <c r="I368" s="16">
        <f>F368/F366</f>
        <v>0.04139186985804577</v>
      </c>
    </row>
    <row r="369" spans="1:9" ht="20.25" customHeight="1">
      <c r="A369" s="24">
        <v>93540</v>
      </c>
      <c r="B369" s="483" t="s">
        <v>93</v>
      </c>
      <c r="C369" s="484"/>
      <c r="D369" s="398">
        <f>1740190.31+12678.03+1893.48+4603.78+8186.69+2344.3+3712.74+8285.33+2822.01+9275.58+10018.4+2490.57+3331.29+5326.11+560.32+1879.14+8739.37+2984.82+5127.13+11673.58+1336.18+4481.48+4659.51+1830.99+7998.87+13216.69+1867.15+997.07+5096.21+4700.18</f>
        <v>1892307.3100000003</v>
      </c>
      <c r="E369" s="25">
        <v>4743006.48</v>
      </c>
      <c r="F369" s="25">
        <v>2013845.29</v>
      </c>
      <c r="G369" s="26">
        <f t="shared" si="13"/>
        <v>1.0642274007809016</v>
      </c>
      <c r="H369" s="27">
        <f t="shared" si="14"/>
        <v>0.4245925655998682</v>
      </c>
      <c r="I369" s="16">
        <f>F369/F366</f>
        <v>0.5988532138573599</v>
      </c>
    </row>
    <row r="370" spans="1:9" ht="20.25" customHeight="1">
      <c r="A370" s="24">
        <v>94740</v>
      </c>
      <c r="B370" s="483" t="s">
        <v>94</v>
      </c>
      <c r="C370" s="484"/>
      <c r="D370" s="398">
        <f>790618.22+15080.32+3259.62+6393.85+54479.29+19912.99+1590.24</f>
        <v>891334.5299999999</v>
      </c>
      <c r="E370" s="25">
        <v>2229568.72</v>
      </c>
      <c r="F370" s="25">
        <v>943287.89</v>
      </c>
      <c r="G370" s="26">
        <f t="shared" si="13"/>
        <v>1.0582871618358598</v>
      </c>
      <c r="H370" s="27">
        <f t="shared" si="14"/>
        <v>0.4230808772738792</v>
      </c>
      <c r="I370" s="16">
        <f>F370/F366</f>
        <v>0.2805036649658563</v>
      </c>
    </row>
    <row r="371" spans="1:9" ht="29.25" customHeight="1">
      <c r="A371" s="35"/>
      <c r="B371" s="495" t="s">
        <v>95</v>
      </c>
      <c r="C371" s="496"/>
      <c r="D371" s="36">
        <f>D345+D346+D347+D348+D349+D350+D351+D352+D353+D354+D355+D356+D357+D358+D359+D360+D365+D366</f>
        <v>6704774.49</v>
      </c>
      <c r="E371" s="36">
        <f>E346+E347+E348+E349+E350+E351+E352+E353+E354+E355+E356+E357+E358+E359+E360+E364+E365+E366</f>
        <v>18184846</v>
      </c>
      <c r="F371" s="36">
        <f>F346+F347+F348+F349+F350+F351+F352+F353+F354+F355+F356+F357+F358+F359+F360+F364+F365+F366</f>
        <v>7326560.82</v>
      </c>
      <c r="G371" s="37">
        <f>F371/D371</f>
        <v>1.0927378438942843</v>
      </c>
      <c r="H371" s="38">
        <f>F371/E371</f>
        <v>0.4028937512036121</v>
      </c>
      <c r="I371" s="21">
        <f>SUM(I346+I347+I348+I349+I350+I351+I352+I353+I354+I355+I356+I357+I358+I359+I360+I365+I366)</f>
        <v>1</v>
      </c>
    </row>
    <row r="372" spans="1:9" ht="20.25" customHeight="1">
      <c r="A372" s="2"/>
      <c r="B372" s="2"/>
      <c r="C372" s="2"/>
      <c r="E372" s="2"/>
      <c r="F372" s="2"/>
      <c r="G372" s="2"/>
      <c r="H372" s="175"/>
      <c r="I372" s="445">
        <v>4</v>
      </c>
    </row>
    <row r="373" spans="1:8" ht="20.25" customHeight="1">
      <c r="A373" s="2"/>
      <c r="B373" s="2"/>
      <c r="C373" s="2"/>
      <c r="D373" s="2"/>
      <c r="E373" s="2"/>
      <c r="F373" s="2"/>
      <c r="G373" s="2"/>
      <c r="H373" s="175"/>
    </row>
    <row r="374" spans="1:9" ht="20.25" customHeight="1">
      <c r="A374" s="2"/>
      <c r="B374" s="2"/>
      <c r="C374" s="2"/>
      <c r="D374" s="2"/>
      <c r="E374" s="2"/>
      <c r="F374" s="2"/>
      <c r="G374" s="2"/>
      <c r="H374" s="175"/>
      <c r="I374" s="203"/>
    </row>
    <row r="375" spans="1:9" ht="20.25" customHeight="1">
      <c r="A375" s="503" t="s">
        <v>942</v>
      </c>
      <c r="B375" s="503"/>
      <c r="C375" s="503"/>
      <c r="D375" s="503"/>
      <c r="E375" s="503"/>
      <c r="F375" s="503"/>
      <c r="G375" s="503"/>
      <c r="H375" s="503"/>
      <c r="I375" s="503"/>
    </row>
    <row r="376" spans="1:9" ht="20.25" customHeight="1">
      <c r="A376" s="503" t="s">
        <v>593</v>
      </c>
      <c r="B376" s="503"/>
      <c r="C376" s="503"/>
      <c r="D376" s="503"/>
      <c r="E376" s="503"/>
      <c r="F376" s="503"/>
      <c r="G376" s="503"/>
      <c r="H376" s="503"/>
      <c r="I376" s="503"/>
    </row>
    <row r="377" spans="1:9" ht="20.25" customHeight="1">
      <c r="A377" s="486" t="s">
        <v>943</v>
      </c>
      <c r="B377" s="486"/>
      <c r="C377" s="486"/>
      <c r="D377" s="486"/>
      <c r="E377" s="486"/>
      <c r="F377" s="486"/>
      <c r="G377" s="486"/>
      <c r="H377" s="486"/>
      <c r="I377" s="486"/>
    </row>
    <row r="378" spans="1:9" ht="20.25" customHeight="1">
      <c r="A378" s="486" t="s">
        <v>944</v>
      </c>
      <c r="B378" s="486"/>
      <c r="C378" s="486"/>
      <c r="D378" s="486"/>
      <c r="E378" s="486"/>
      <c r="F378" s="486"/>
      <c r="G378" s="486"/>
      <c r="H378" s="486"/>
      <c r="I378" s="486"/>
    </row>
    <row r="379" spans="1:9" ht="20.25" customHeight="1">
      <c r="A379" s="486" t="s">
        <v>594</v>
      </c>
      <c r="B379" s="486"/>
      <c r="C379" s="486"/>
      <c r="D379" s="486"/>
      <c r="E379" s="486"/>
      <c r="F379" s="486"/>
      <c r="G379" s="486"/>
      <c r="H379" s="486"/>
      <c r="I379" s="486"/>
    </row>
    <row r="380" spans="1:9" ht="20.25" customHeight="1">
      <c r="A380" s="486" t="s">
        <v>210</v>
      </c>
      <c r="B380" s="486"/>
      <c r="C380" s="486"/>
      <c r="D380" s="486"/>
      <c r="E380" s="486"/>
      <c r="F380" s="486"/>
      <c r="G380" s="486"/>
      <c r="H380" s="486"/>
      <c r="I380" s="486"/>
    </row>
    <row r="381" spans="1:9" ht="20.25" customHeight="1">
      <c r="A381" s="486" t="s">
        <v>111</v>
      </c>
      <c r="B381" s="486"/>
      <c r="C381" s="486"/>
      <c r="D381" s="486"/>
      <c r="E381" s="486"/>
      <c r="F381" s="486"/>
      <c r="G381" s="486"/>
      <c r="H381" s="486"/>
      <c r="I381" s="486"/>
    </row>
    <row r="382" spans="1:9" ht="20.25" customHeight="1">
      <c r="A382" s="486" t="s">
        <v>598</v>
      </c>
      <c r="B382" s="486"/>
      <c r="C382" s="486"/>
      <c r="D382" s="486"/>
      <c r="E382" s="486"/>
      <c r="F382" s="486"/>
      <c r="G382" s="486"/>
      <c r="H382" s="486"/>
      <c r="I382" s="486"/>
    </row>
    <row r="383" spans="1:9" ht="20.25" customHeight="1">
      <c r="A383" s="486" t="s">
        <v>113</v>
      </c>
      <c r="B383" s="486"/>
      <c r="C383" s="486"/>
      <c r="D383" s="486"/>
      <c r="E383" s="486"/>
      <c r="F383" s="486"/>
      <c r="G383" s="486"/>
      <c r="H383" s="486"/>
      <c r="I383" s="486"/>
    </row>
    <row r="384" spans="1:9" ht="20.25" customHeight="1">
      <c r="A384" s="40"/>
      <c r="B384" s="40"/>
      <c r="D384" s="487" t="s">
        <v>682</v>
      </c>
      <c r="E384" s="487"/>
      <c r="F384" s="487"/>
      <c r="G384" s="40"/>
      <c r="H384" s="40"/>
      <c r="I384" s="135"/>
    </row>
    <row r="385" spans="1:9" ht="20.25" customHeight="1">
      <c r="A385" s="40"/>
      <c r="B385" s="40"/>
      <c r="C385" s="40"/>
      <c r="D385" s="40"/>
      <c r="E385" s="40"/>
      <c r="F385" s="40"/>
      <c r="G385" s="40"/>
      <c r="H385" s="40"/>
      <c r="I385" s="135"/>
    </row>
    <row r="386" spans="1:9" ht="20.25" customHeight="1">
      <c r="A386" s="22" t="s">
        <v>683</v>
      </c>
      <c r="B386" s="491" t="s">
        <v>688</v>
      </c>
      <c r="C386" s="492"/>
      <c r="D386" s="5" t="s">
        <v>686</v>
      </c>
      <c r="E386" s="5" t="s">
        <v>712</v>
      </c>
      <c r="F386" s="5" t="s">
        <v>686</v>
      </c>
      <c r="G386" s="510" t="s">
        <v>713</v>
      </c>
      <c r="H386" s="511"/>
      <c r="I386" s="6" t="s">
        <v>714</v>
      </c>
    </row>
    <row r="387" spans="1:9" ht="20.25" customHeight="1">
      <c r="A387" s="23" t="s">
        <v>97</v>
      </c>
      <c r="B387" s="493"/>
      <c r="C387" s="494"/>
      <c r="D387" s="7" t="s">
        <v>656</v>
      </c>
      <c r="E387" s="7" t="s">
        <v>715</v>
      </c>
      <c r="F387" s="7" t="s">
        <v>657</v>
      </c>
      <c r="G387" s="8" t="s">
        <v>706</v>
      </c>
      <c r="H387" s="9" t="s">
        <v>707</v>
      </c>
      <c r="I387" s="10" t="s">
        <v>717</v>
      </c>
    </row>
    <row r="388" spans="1:9" ht="20.25" customHeight="1">
      <c r="A388" s="13">
        <v>1</v>
      </c>
      <c r="B388" s="501">
        <v>2</v>
      </c>
      <c r="C388" s="502"/>
      <c r="D388" s="12">
        <v>3</v>
      </c>
      <c r="E388" s="12">
        <v>4</v>
      </c>
      <c r="F388" s="12">
        <v>5</v>
      </c>
      <c r="G388" s="12">
        <v>6</v>
      </c>
      <c r="H388" s="12">
        <v>7</v>
      </c>
      <c r="I388" s="13">
        <v>8</v>
      </c>
    </row>
    <row r="389" spans="1:9" ht="20.25" customHeight="1">
      <c r="A389" s="4">
        <v>111</v>
      </c>
      <c r="B389" s="504" t="s">
        <v>540</v>
      </c>
      <c r="C389" s="505"/>
      <c r="D389" s="398">
        <f>41209.82+93632.64+45302.01+9706.01+56501.25+53242.26+18233.35+85937.13+12314.37+28993.5+18008.31+1102.5+26562.78+3393.6+20577.78+8848.96+689748.57+26215.99+74124.25+22534.05+87437.47+1740190.31+790618.22</f>
        <v>3954435.13</v>
      </c>
      <c r="E389" s="25">
        <f>10163622+120234</f>
        <v>10283856</v>
      </c>
      <c r="F389" s="25">
        <v>4331174.26</v>
      </c>
      <c r="G389" s="26">
        <f aca="true" t="shared" si="15" ref="G389:G394">F389/D389</f>
        <v>1.0952700240653588</v>
      </c>
      <c r="H389" s="27">
        <f aca="true" t="shared" si="16" ref="H389:H394">F389/E389</f>
        <v>0.4211624764096269</v>
      </c>
      <c r="I389" s="16">
        <f>F389/F394</f>
        <v>0.59116062316398</v>
      </c>
    </row>
    <row r="390" spans="1:9" ht="20.25" customHeight="1">
      <c r="A390" s="4">
        <v>130</v>
      </c>
      <c r="B390" s="504" t="s">
        <v>541</v>
      </c>
      <c r="C390" s="505"/>
      <c r="D390" s="398">
        <f>53722+133182.86+27324.49+20152.12+41924.69+26276.02+6210.07+11018.79+4960.48+1053.2+8992.69+3472.77+5056.86+500+143571.82+6737.64+31616.69+70836.88+38593.26+109715.29+45932.16</f>
        <v>790850.78</v>
      </c>
      <c r="E390" s="25">
        <f>1798812+123708+71149.78</f>
        <v>1993669.78</v>
      </c>
      <c r="F390" s="25">
        <v>1466024.86</v>
      </c>
      <c r="G390" s="26">
        <f t="shared" si="15"/>
        <v>1.8537313195796559</v>
      </c>
      <c r="H390" s="27">
        <f t="shared" si="16"/>
        <v>0.735339861549188</v>
      </c>
      <c r="I390" s="16">
        <f>F390/F394</f>
        <v>0.20009727565463659</v>
      </c>
    </row>
    <row r="391" spans="1:9" ht="20.25" customHeight="1">
      <c r="A391" s="4">
        <v>132</v>
      </c>
      <c r="B391" s="504" t="s">
        <v>542</v>
      </c>
      <c r="C391" s="505"/>
      <c r="D391" s="398">
        <f>63307.72+41863.02+5513.91+65381.85+3194.03+21574.28+2970.63+8959.68+34021.71+13271.13</f>
        <v>260057.96</v>
      </c>
      <c r="E391" s="25">
        <v>532800</v>
      </c>
      <c r="F391" s="25">
        <v>273771.59</v>
      </c>
      <c r="G391" s="26">
        <f t="shared" si="15"/>
        <v>1.0527329753721058</v>
      </c>
      <c r="H391" s="27">
        <f t="shared" si="16"/>
        <v>0.5138355668168169</v>
      </c>
      <c r="I391" s="16">
        <f>F391/F394</f>
        <v>0.03736699888611585</v>
      </c>
    </row>
    <row r="392" spans="1:9" ht="20.25" customHeight="1">
      <c r="A392" s="4">
        <v>200</v>
      </c>
      <c r="B392" s="507" t="s">
        <v>543</v>
      </c>
      <c r="C392" s="508"/>
      <c r="D392" s="398">
        <f>142942+14376+1000</f>
        <v>158318</v>
      </c>
      <c r="E392" s="25">
        <v>284000</v>
      </c>
      <c r="F392" s="25">
        <v>292952.22</v>
      </c>
      <c r="G392" s="26">
        <f t="shared" si="15"/>
        <v>1.8504037443626118</v>
      </c>
      <c r="H392" s="27">
        <f t="shared" si="16"/>
        <v>1.0315219014084507</v>
      </c>
      <c r="I392" s="16">
        <f>F392/F394</f>
        <v>0.039984957089320934</v>
      </c>
    </row>
    <row r="393" spans="1:9" ht="20.25" customHeight="1">
      <c r="A393" s="4">
        <v>300</v>
      </c>
      <c r="B393" s="504" t="s">
        <v>544</v>
      </c>
      <c r="C393" s="505"/>
      <c r="D393" s="398">
        <f>435669.03+9254+893342.66+32317.52+15030+102775.09+4984+8380+41513.02</f>
        <v>1543265.32</v>
      </c>
      <c r="E393" s="25">
        <f>3054692+2106978-71149.78</f>
        <v>5090520.22</v>
      </c>
      <c r="F393" s="25">
        <v>962637.89</v>
      </c>
      <c r="G393" s="26">
        <f t="shared" si="15"/>
        <v>0.6237669424205036</v>
      </c>
      <c r="H393" s="27">
        <f t="shared" si="16"/>
        <v>0.18910403031460704</v>
      </c>
      <c r="I393" s="16">
        <f>F393/F394</f>
        <v>0.13139014520594672</v>
      </c>
    </row>
    <row r="394" spans="1:9" ht="32.25" customHeight="1">
      <c r="A394" s="17"/>
      <c r="B394" s="583" t="s">
        <v>95</v>
      </c>
      <c r="C394" s="584"/>
      <c r="D394" s="36">
        <f>D389+D390+D391+D392+D393</f>
        <v>6706927.19</v>
      </c>
      <c r="E394" s="36">
        <f>E389+E390+E391+E392+E393</f>
        <v>18184846</v>
      </c>
      <c r="F394" s="36">
        <f>F389+F390+F391+F392+F393</f>
        <v>7326560.819999999</v>
      </c>
      <c r="G394" s="37">
        <f t="shared" si="15"/>
        <v>1.0923871114813755</v>
      </c>
      <c r="H394" s="38">
        <f t="shared" si="16"/>
        <v>0.40289375120361204</v>
      </c>
      <c r="I394" s="21">
        <f>SUM(I389:I393)</f>
        <v>1</v>
      </c>
    </row>
    <row r="395" spans="1:9" ht="20.25" customHeight="1">
      <c r="A395" s="49"/>
      <c r="B395" s="49"/>
      <c r="C395" s="49"/>
      <c r="D395" s="49"/>
      <c r="E395" s="208"/>
      <c r="F395" s="49"/>
      <c r="G395" s="49"/>
      <c r="H395" s="40"/>
      <c r="I395" s="135"/>
    </row>
    <row r="396" spans="1:9" ht="20.25" customHeight="1">
      <c r="A396" s="503" t="s">
        <v>599</v>
      </c>
      <c r="B396" s="503"/>
      <c r="C396" s="503"/>
      <c r="D396" s="503"/>
      <c r="E396" s="503"/>
      <c r="F396" s="503"/>
      <c r="G396" s="503"/>
      <c r="H396" s="503"/>
      <c r="I396" s="503"/>
    </row>
    <row r="397" spans="1:9" ht="20.25" customHeight="1">
      <c r="A397" s="486" t="s">
        <v>600</v>
      </c>
      <c r="B397" s="486"/>
      <c r="C397" s="486"/>
      <c r="D397" s="486"/>
      <c r="E397" s="486"/>
      <c r="F397" s="486"/>
      <c r="G397" s="486"/>
      <c r="H397" s="486"/>
      <c r="I397" s="486"/>
    </row>
    <row r="398" spans="1:9" ht="20.25" customHeight="1">
      <c r="A398" s="486" t="s">
        <v>601</v>
      </c>
      <c r="B398" s="486"/>
      <c r="C398" s="486"/>
      <c r="D398" s="486"/>
      <c r="E398" s="486"/>
      <c r="F398" s="486"/>
      <c r="G398" s="486"/>
      <c r="H398" s="486"/>
      <c r="I398" s="486"/>
    </row>
    <row r="399" spans="1:9" ht="20.25" customHeight="1">
      <c r="A399" s="486" t="s">
        <v>209</v>
      </c>
      <c r="B399" s="486"/>
      <c r="C399" s="486"/>
      <c r="D399" s="486"/>
      <c r="E399" s="486"/>
      <c r="F399" s="486"/>
      <c r="G399" s="486"/>
      <c r="H399" s="486"/>
      <c r="I399" s="486"/>
    </row>
    <row r="400" spans="1:9" ht="20.25" customHeight="1">
      <c r="A400" s="486" t="s">
        <v>602</v>
      </c>
      <c r="B400" s="486"/>
      <c r="C400" s="486"/>
      <c r="D400" s="486"/>
      <c r="E400" s="486"/>
      <c r="F400" s="486"/>
      <c r="G400" s="486"/>
      <c r="H400" s="486"/>
      <c r="I400" s="486"/>
    </row>
    <row r="401" spans="1:9" ht="20.25" customHeight="1">
      <c r="A401" s="486" t="s">
        <v>780</v>
      </c>
      <c r="B401" s="486"/>
      <c r="C401" s="486"/>
      <c r="D401" s="486"/>
      <c r="E401" s="486"/>
      <c r="F401" s="486"/>
      <c r="G401" s="486"/>
      <c r="H401" s="486"/>
      <c r="I401" s="486"/>
    </row>
    <row r="402" spans="1:9" ht="20.25" customHeight="1">
      <c r="A402" s="486" t="s">
        <v>603</v>
      </c>
      <c r="B402" s="486"/>
      <c r="C402" s="486"/>
      <c r="D402" s="486"/>
      <c r="E402" s="486"/>
      <c r="F402" s="486"/>
      <c r="G402" s="486"/>
      <c r="H402" s="486"/>
      <c r="I402" s="486"/>
    </row>
    <row r="403" spans="1:9" ht="20.25" customHeight="1">
      <c r="A403" s="486" t="s">
        <v>604</v>
      </c>
      <c r="B403" s="486"/>
      <c r="C403" s="486"/>
      <c r="D403" s="486"/>
      <c r="E403" s="486"/>
      <c r="F403" s="486"/>
      <c r="G403" s="486"/>
      <c r="H403" s="486"/>
      <c r="I403" s="486"/>
    </row>
    <row r="404" spans="1:9" ht="20.25" customHeight="1">
      <c r="A404" s="486" t="s">
        <v>605</v>
      </c>
      <c r="B404" s="486"/>
      <c r="C404" s="486"/>
      <c r="D404" s="486"/>
      <c r="E404" s="486"/>
      <c r="F404" s="486"/>
      <c r="G404" s="486"/>
      <c r="H404" s="486"/>
      <c r="I404" s="486"/>
    </row>
    <row r="405" spans="1:9" ht="20.25" customHeight="1">
      <c r="A405" s="486" t="s">
        <v>606</v>
      </c>
      <c r="B405" s="486"/>
      <c r="C405" s="486"/>
      <c r="D405" s="486"/>
      <c r="E405" s="486"/>
      <c r="F405" s="486"/>
      <c r="G405" s="486"/>
      <c r="H405" s="486"/>
      <c r="I405" s="486"/>
    </row>
    <row r="406" spans="1:9" ht="20.25" customHeight="1">
      <c r="A406" s="486" t="s">
        <v>607</v>
      </c>
      <c r="B406" s="486"/>
      <c r="C406" s="486"/>
      <c r="D406" s="486"/>
      <c r="E406" s="486"/>
      <c r="F406" s="486"/>
      <c r="G406" s="486"/>
      <c r="H406" s="486"/>
      <c r="I406" s="486"/>
    </row>
    <row r="407" spans="1:9" ht="20.25" customHeight="1">
      <c r="A407" s="506" t="s">
        <v>608</v>
      </c>
      <c r="B407" s="506"/>
      <c r="C407" s="506"/>
      <c r="D407" s="506"/>
      <c r="E407" s="506"/>
      <c r="F407" s="506"/>
      <c r="G407" s="506"/>
      <c r="H407" s="506"/>
      <c r="I407" s="506"/>
    </row>
    <row r="408" spans="1:9" ht="20.25" customHeight="1">
      <c r="A408" s="486" t="s">
        <v>609</v>
      </c>
      <c r="B408" s="486"/>
      <c r="C408" s="486"/>
      <c r="D408" s="486"/>
      <c r="E408" s="486"/>
      <c r="F408" s="486"/>
      <c r="G408" s="486"/>
      <c r="H408" s="486"/>
      <c r="I408" s="486"/>
    </row>
    <row r="409" spans="1:9" ht="20.25" customHeight="1">
      <c r="A409" s="486" t="s">
        <v>610</v>
      </c>
      <c r="B409" s="486"/>
      <c r="C409" s="486"/>
      <c r="D409" s="486"/>
      <c r="E409" s="486"/>
      <c r="F409" s="486"/>
      <c r="G409" s="486"/>
      <c r="H409" s="486"/>
      <c r="I409" s="486"/>
    </row>
    <row r="410" spans="1:9" ht="20.25" customHeight="1">
      <c r="A410" s="486" t="s">
        <v>549</v>
      </c>
      <c r="B410" s="486"/>
      <c r="C410" s="486"/>
      <c r="D410" s="486"/>
      <c r="E410" s="486"/>
      <c r="F410" s="486"/>
      <c r="G410" s="486"/>
      <c r="H410" s="486"/>
      <c r="I410" s="486"/>
    </row>
    <row r="411" spans="1:9" ht="20.25" customHeight="1">
      <c r="A411" s="39"/>
      <c r="B411" s="39"/>
      <c r="C411" s="39"/>
      <c r="D411" s="39"/>
      <c r="E411" s="39"/>
      <c r="F411" s="39"/>
      <c r="G411" s="39"/>
      <c r="H411" s="39"/>
      <c r="I411" s="39"/>
    </row>
    <row r="412" spans="1:9" ht="20.25" customHeight="1">
      <c r="A412" s="39"/>
      <c r="B412" s="39"/>
      <c r="C412" s="39"/>
      <c r="D412" s="39"/>
      <c r="E412" s="39"/>
      <c r="F412" s="39"/>
      <c r="G412" s="39"/>
      <c r="H412" s="39"/>
      <c r="I412" s="39"/>
    </row>
    <row r="413" spans="1:9" ht="20.25" customHeight="1">
      <c r="A413" s="39"/>
      <c r="B413" s="39"/>
      <c r="C413" s="39"/>
      <c r="D413" s="39"/>
      <c r="E413" s="39"/>
      <c r="F413" s="39"/>
      <c r="G413" s="39"/>
      <c r="H413" s="39"/>
      <c r="I413" s="135"/>
    </row>
    <row r="414" spans="1:9" ht="30" customHeight="1">
      <c r="A414" s="40"/>
      <c r="B414" s="638" t="s">
        <v>546</v>
      </c>
      <c r="C414" s="638"/>
      <c r="D414" s="40"/>
      <c r="E414" s="40"/>
      <c r="F414" s="40"/>
      <c r="G414" s="40"/>
      <c r="H414" s="40"/>
      <c r="I414" s="135"/>
    </row>
    <row r="415" spans="1:9" ht="30" customHeight="1">
      <c r="A415" s="40"/>
      <c r="B415" s="474"/>
      <c r="C415" s="474"/>
      <c r="D415" s="40"/>
      <c r="E415" s="40"/>
      <c r="F415" s="40"/>
      <c r="G415" s="40"/>
      <c r="H415" s="40"/>
      <c r="I415" s="135"/>
    </row>
    <row r="416" spans="1:9" ht="20.25" customHeight="1">
      <c r="A416" s="40"/>
      <c r="B416" s="40"/>
      <c r="C416" s="40"/>
      <c r="D416" s="40"/>
      <c r="E416" s="40"/>
      <c r="F416" s="40"/>
      <c r="G416" s="40"/>
      <c r="H416" s="40"/>
      <c r="I416" s="135"/>
    </row>
    <row r="417" spans="1:9" ht="20.25" customHeight="1">
      <c r="A417" s="39"/>
      <c r="B417" s="39"/>
      <c r="C417" s="39"/>
      <c r="D417" s="39"/>
      <c r="E417" s="39"/>
      <c r="F417" s="39"/>
      <c r="G417" s="39"/>
      <c r="H417" s="39"/>
      <c r="I417" s="138"/>
    </row>
    <row r="418" spans="1:9" ht="20.25" customHeight="1">
      <c r="A418" s="486" t="s">
        <v>945</v>
      </c>
      <c r="B418" s="486"/>
      <c r="C418" s="486"/>
      <c r="D418" s="486"/>
      <c r="E418" s="486"/>
      <c r="F418" s="486"/>
      <c r="G418" s="486"/>
      <c r="H418" s="486"/>
      <c r="I418" s="486"/>
    </row>
    <row r="419" spans="1:9" ht="20.25" customHeight="1">
      <c r="A419" s="486" t="s">
        <v>946</v>
      </c>
      <c r="B419" s="486"/>
      <c r="C419" s="486"/>
      <c r="D419" s="486"/>
      <c r="E419" s="486"/>
      <c r="F419" s="486"/>
      <c r="G419" s="486"/>
      <c r="H419" s="486"/>
      <c r="I419" s="486"/>
    </row>
    <row r="420" spans="1:9" ht="20.25" customHeight="1">
      <c r="A420" s="486" t="s">
        <v>614</v>
      </c>
      <c r="B420" s="486"/>
      <c r="C420" s="486"/>
      <c r="D420" s="486"/>
      <c r="E420" s="486"/>
      <c r="F420" s="486"/>
      <c r="G420" s="486"/>
      <c r="H420" s="486"/>
      <c r="I420" s="486"/>
    </row>
    <row r="421" spans="1:9" ht="20.25" customHeight="1">
      <c r="A421" s="486" t="s">
        <v>611</v>
      </c>
      <c r="B421" s="486"/>
      <c r="C421" s="486"/>
      <c r="D421" s="486"/>
      <c r="E421" s="486"/>
      <c r="F421" s="486"/>
      <c r="G421" s="486"/>
      <c r="H421" s="486"/>
      <c r="I421" s="486"/>
    </row>
    <row r="422" spans="1:9" ht="20.25" customHeight="1">
      <c r="A422" s="41"/>
      <c r="B422" s="41"/>
      <c r="C422" s="41"/>
      <c r="D422" s="41"/>
      <c r="E422" s="41"/>
      <c r="F422" s="41"/>
      <c r="G422" s="41"/>
      <c r="H422" s="40"/>
      <c r="I422" s="135"/>
    </row>
    <row r="423" spans="1:9" ht="20.25" customHeight="1">
      <c r="A423" s="41"/>
      <c r="B423" s="41"/>
      <c r="C423" s="41"/>
      <c r="D423" s="487" t="s">
        <v>682</v>
      </c>
      <c r="E423" s="487"/>
      <c r="F423" s="487"/>
      <c r="G423" s="41"/>
      <c r="H423" s="40"/>
      <c r="I423" s="135"/>
    </row>
    <row r="424" spans="1:9" ht="20.25" customHeight="1">
      <c r="A424" s="40"/>
      <c r="B424" s="40"/>
      <c r="C424" s="40"/>
      <c r="D424" s="40"/>
      <c r="E424" s="40"/>
      <c r="F424" s="40"/>
      <c r="G424" s="40"/>
      <c r="H424" s="40"/>
      <c r="I424" s="135"/>
    </row>
    <row r="425" spans="1:9" ht="20.25" customHeight="1">
      <c r="A425" s="489" t="s">
        <v>710</v>
      </c>
      <c r="B425" s="491" t="s">
        <v>711</v>
      </c>
      <c r="C425" s="492"/>
      <c r="D425" s="5" t="s">
        <v>686</v>
      </c>
      <c r="E425" s="5" t="s">
        <v>712</v>
      </c>
      <c r="F425" s="5" t="s">
        <v>686</v>
      </c>
      <c r="G425" s="510" t="s">
        <v>713</v>
      </c>
      <c r="H425" s="511"/>
      <c r="I425" s="6" t="s">
        <v>714</v>
      </c>
    </row>
    <row r="426" spans="1:9" ht="20.25" customHeight="1">
      <c r="A426" s="490"/>
      <c r="B426" s="493"/>
      <c r="C426" s="494"/>
      <c r="D426" s="7" t="s">
        <v>656</v>
      </c>
      <c r="E426" s="7" t="s">
        <v>715</v>
      </c>
      <c r="F426" s="7" t="s">
        <v>657</v>
      </c>
      <c r="G426" s="8" t="s">
        <v>706</v>
      </c>
      <c r="H426" s="9" t="s">
        <v>707</v>
      </c>
      <c r="I426" s="10" t="s">
        <v>717</v>
      </c>
    </row>
    <row r="427" spans="1:9" ht="20.25" customHeight="1">
      <c r="A427" s="11">
        <v>1</v>
      </c>
      <c r="B427" s="535">
        <v>2</v>
      </c>
      <c r="C427" s="536"/>
      <c r="D427" s="12">
        <v>3</v>
      </c>
      <c r="E427" s="12">
        <v>4</v>
      </c>
      <c r="F427" s="12">
        <v>5</v>
      </c>
      <c r="G427" s="12">
        <v>6</v>
      </c>
      <c r="H427" s="12">
        <v>7</v>
      </c>
      <c r="I427" s="13">
        <v>8</v>
      </c>
    </row>
    <row r="428" spans="1:9" ht="20.25" customHeight="1">
      <c r="A428" s="4">
        <v>10</v>
      </c>
      <c r="B428" s="504" t="s">
        <v>547</v>
      </c>
      <c r="C428" s="505"/>
      <c r="D428" s="398">
        <f>41209.82+93632.64+45302.01+9706.01+56501.25+53242.26+18233.35+85937.13+12314.37+28993.5+11020.21+1102.5+26562.78+3393.6+20577.78+8848.96+689748.57+26215.99+74124.25+22534.05+87437.47+1740190.31+790618.22</f>
        <v>3947447.0300000003</v>
      </c>
      <c r="E428" s="25">
        <v>10163622</v>
      </c>
      <c r="F428" s="25">
        <v>4276649.67</v>
      </c>
      <c r="G428" s="15">
        <f aca="true" t="shared" si="17" ref="G428:G433">F428/D428</f>
        <v>1.0833963413563525</v>
      </c>
      <c r="H428" s="15">
        <f aca="true" t="shared" si="18" ref="H428:H433">F428/E428</f>
        <v>0.4207800791883051</v>
      </c>
      <c r="I428" s="16">
        <f>F428/F433</f>
        <v>0.9874111299322323</v>
      </c>
    </row>
    <row r="429" spans="1:9" ht="20.25" customHeight="1">
      <c r="A429" s="4">
        <v>21</v>
      </c>
      <c r="B429" s="504" t="s">
        <v>719</v>
      </c>
      <c r="C429" s="505"/>
      <c r="D429" s="398">
        <v>0</v>
      </c>
      <c r="E429" s="25">
        <v>120234</v>
      </c>
      <c r="F429" s="25">
        <f>4195.86+29990.3</f>
        <v>34186.159999999996</v>
      </c>
      <c r="G429" s="15" t="e">
        <f t="shared" si="17"/>
        <v>#DIV/0!</v>
      </c>
      <c r="H429" s="15">
        <f t="shared" si="18"/>
        <v>0.2843302227323386</v>
      </c>
      <c r="I429" s="16">
        <f>F429/F433</f>
        <v>0.00789304653837687</v>
      </c>
    </row>
    <row r="430" spans="1:9" ht="20.25" customHeight="1">
      <c r="A430" s="4">
        <v>22</v>
      </c>
      <c r="B430" s="504" t="s">
        <v>720</v>
      </c>
      <c r="C430" s="505"/>
      <c r="D430" s="398">
        <v>0</v>
      </c>
      <c r="E430" s="25">
        <v>0</v>
      </c>
      <c r="F430" s="25">
        <f>7291.43</f>
        <v>7291.43</v>
      </c>
      <c r="G430" s="15" t="e">
        <f t="shared" si="17"/>
        <v>#DIV/0!</v>
      </c>
      <c r="H430" s="50" t="e">
        <f t="shared" si="18"/>
        <v>#DIV/0!</v>
      </c>
      <c r="I430" s="16">
        <f>F430/F433</f>
        <v>0.0016834764805791953</v>
      </c>
    </row>
    <row r="431" spans="1:9" ht="20.25" customHeight="1">
      <c r="A431" s="4">
        <v>31</v>
      </c>
      <c r="B431" s="504" t="s">
        <v>66</v>
      </c>
      <c r="C431" s="505"/>
      <c r="D431" s="398">
        <v>0</v>
      </c>
      <c r="E431" s="25">
        <v>0</v>
      </c>
      <c r="F431" s="25">
        <v>0</v>
      </c>
      <c r="G431" s="15" t="e">
        <f t="shared" si="17"/>
        <v>#DIV/0!</v>
      </c>
      <c r="H431" s="50" t="e">
        <f t="shared" si="18"/>
        <v>#DIV/0!</v>
      </c>
      <c r="I431" s="16">
        <f>F431/F433</f>
        <v>0</v>
      </c>
    </row>
    <row r="432" spans="1:9" ht="20.25" customHeight="1">
      <c r="A432" s="4"/>
      <c r="B432" s="504" t="s">
        <v>548</v>
      </c>
      <c r="C432" s="505"/>
      <c r="D432" s="398">
        <v>6988.1</v>
      </c>
      <c r="E432" s="25">
        <v>0</v>
      </c>
      <c r="F432" s="25">
        <f>12480+483.9+29.1+27+27</f>
        <v>13047</v>
      </c>
      <c r="G432" s="15">
        <f t="shared" si="17"/>
        <v>1.8670310957198666</v>
      </c>
      <c r="H432" s="50" t="e">
        <f t="shared" si="18"/>
        <v>#DIV/0!</v>
      </c>
      <c r="I432" s="16">
        <f>F432/F433</f>
        <v>0.0030123470488116542</v>
      </c>
    </row>
    <row r="433" spans="1:9" ht="30" customHeight="1">
      <c r="A433" s="11"/>
      <c r="B433" s="548" t="s">
        <v>69</v>
      </c>
      <c r="C433" s="549"/>
      <c r="D433" s="36">
        <f>D428+D429+D430+D432</f>
        <v>3954435.1300000004</v>
      </c>
      <c r="E433" s="36">
        <f>E428+E429+E430+E432</f>
        <v>10283856</v>
      </c>
      <c r="F433" s="36">
        <f>F428+F429+F430+F432</f>
        <v>4331174.26</v>
      </c>
      <c r="G433" s="38">
        <f t="shared" si="17"/>
        <v>1.0952700240653586</v>
      </c>
      <c r="H433" s="38">
        <f t="shared" si="18"/>
        <v>0.4211624764096269</v>
      </c>
      <c r="I433" s="21">
        <f>SUM(I428:I432)</f>
        <v>1</v>
      </c>
    </row>
    <row r="434" spans="1:9" ht="20.25" customHeight="1">
      <c r="A434" s="39"/>
      <c r="B434" s="39"/>
      <c r="C434" s="39"/>
      <c r="D434" s="39"/>
      <c r="E434" s="39"/>
      <c r="F434" s="39"/>
      <c r="G434" s="39"/>
      <c r="H434" s="39"/>
      <c r="I434" s="444">
        <v>5</v>
      </c>
    </row>
    <row r="435" spans="1:9" ht="20.25" customHeight="1">
      <c r="A435" s="39"/>
      <c r="B435" s="39"/>
      <c r="C435" s="39"/>
      <c r="D435" s="39"/>
      <c r="E435" s="39"/>
      <c r="F435" s="39"/>
      <c r="G435" s="39"/>
      <c r="H435" s="39"/>
      <c r="I435" s="444"/>
    </row>
    <row r="436" spans="1:9" ht="20.25" customHeight="1">
      <c r="A436" s="39"/>
      <c r="B436" s="39"/>
      <c r="C436" s="39"/>
      <c r="D436" s="39"/>
      <c r="E436" s="39"/>
      <c r="F436" s="39"/>
      <c r="G436" s="39"/>
      <c r="H436" s="39"/>
      <c r="I436" s="135"/>
    </row>
    <row r="437" spans="1:9" ht="20.25" customHeight="1">
      <c r="A437" s="486" t="s">
        <v>612</v>
      </c>
      <c r="B437" s="486"/>
      <c r="C437" s="486"/>
      <c r="D437" s="486"/>
      <c r="E437" s="486"/>
      <c r="F437" s="486"/>
      <c r="G437" s="486"/>
      <c r="H437" s="486"/>
      <c r="I437" s="486"/>
    </row>
    <row r="438" spans="1:9" ht="20.25" customHeight="1">
      <c r="A438" s="486" t="s">
        <v>523</v>
      </c>
      <c r="B438" s="486"/>
      <c r="C438" s="486"/>
      <c r="D438" s="486"/>
      <c r="E438" s="486"/>
      <c r="F438" s="486"/>
      <c r="G438" s="486"/>
      <c r="H438" s="486"/>
      <c r="I438" s="486"/>
    </row>
    <row r="439" spans="1:9" ht="20.25" customHeight="1">
      <c r="A439" s="486" t="s">
        <v>524</v>
      </c>
      <c r="B439" s="486"/>
      <c r="C439" s="486"/>
      <c r="D439" s="486"/>
      <c r="E439" s="486"/>
      <c r="F439" s="486"/>
      <c r="G439" s="486"/>
      <c r="H439" s="486"/>
      <c r="I439" s="486"/>
    </row>
    <row r="440" spans="1:9" ht="20.25" customHeight="1">
      <c r="A440" s="503" t="s">
        <v>525</v>
      </c>
      <c r="B440" s="503"/>
      <c r="C440" s="503"/>
      <c r="D440" s="503"/>
      <c r="E440" s="503"/>
      <c r="F440" s="503"/>
      <c r="G440" s="503"/>
      <c r="H440" s="503"/>
      <c r="I440" s="503"/>
    </row>
    <row r="441" spans="1:9" ht="20.25" customHeight="1">
      <c r="A441" s="503" t="s">
        <v>208</v>
      </c>
      <c r="B441" s="503"/>
      <c r="C441" s="503"/>
      <c r="D441" s="503"/>
      <c r="E441" s="503"/>
      <c r="F441" s="503"/>
      <c r="G441" s="503"/>
      <c r="H441" s="503"/>
      <c r="I441" s="503"/>
    </row>
    <row r="442" spans="1:9" ht="20.25" customHeight="1">
      <c r="A442" s="503" t="s">
        <v>526</v>
      </c>
      <c r="B442" s="503"/>
      <c r="C442" s="503"/>
      <c r="D442" s="503"/>
      <c r="E442" s="503"/>
      <c r="F442" s="503"/>
      <c r="G442" s="503"/>
      <c r="H442" s="503"/>
      <c r="I442" s="503"/>
    </row>
    <row r="443" spans="1:9" ht="20.25" customHeight="1">
      <c r="A443" s="503" t="s">
        <v>613</v>
      </c>
      <c r="B443" s="503"/>
      <c r="C443" s="503"/>
      <c r="D443" s="503"/>
      <c r="E443" s="503"/>
      <c r="F443" s="503"/>
      <c r="G443" s="503"/>
      <c r="H443" s="503"/>
      <c r="I443" s="503"/>
    </row>
    <row r="444" spans="1:9" ht="20.25" customHeight="1">
      <c r="A444" s="39"/>
      <c r="B444" s="39"/>
      <c r="C444" s="39"/>
      <c r="D444" s="39"/>
      <c r="E444" s="39"/>
      <c r="F444" s="39"/>
      <c r="G444" s="39"/>
      <c r="H444" s="39"/>
      <c r="I444" s="138"/>
    </row>
    <row r="445" spans="1:9" ht="20.25" customHeight="1">
      <c r="A445" s="2"/>
      <c r="B445" s="2"/>
      <c r="C445" s="2" t="s">
        <v>549</v>
      </c>
      <c r="D445" s="488" t="s">
        <v>550</v>
      </c>
      <c r="E445" s="488"/>
      <c r="F445" s="488"/>
      <c r="G445" s="2"/>
      <c r="H445" s="51"/>
      <c r="I445" s="135"/>
    </row>
    <row r="446" spans="1:9" ht="20.25" customHeight="1">
      <c r="A446" s="52"/>
      <c r="B446" s="52"/>
      <c r="C446" s="52"/>
      <c r="D446" s="52"/>
      <c r="E446" s="52"/>
      <c r="F446" s="52"/>
      <c r="G446" s="52"/>
      <c r="H446" s="51"/>
      <c r="I446" s="135"/>
    </row>
    <row r="447" spans="1:9" ht="20.25" customHeight="1">
      <c r="A447" s="42" t="s">
        <v>96</v>
      </c>
      <c r="B447" s="539" t="s">
        <v>688</v>
      </c>
      <c r="C447" s="540"/>
      <c r="D447" s="5" t="s">
        <v>686</v>
      </c>
      <c r="E447" s="5" t="s">
        <v>712</v>
      </c>
      <c r="F447" s="5" t="s">
        <v>686</v>
      </c>
      <c r="G447" s="192" t="s">
        <v>713</v>
      </c>
      <c r="H447" s="193"/>
      <c r="I447" s="6" t="s">
        <v>714</v>
      </c>
    </row>
    <row r="448" spans="1:9" ht="20.25" customHeight="1">
      <c r="A448" s="44" t="s">
        <v>97</v>
      </c>
      <c r="B448" s="541"/>
      <c r="C448" s="542"/>
      <c r="D448" s="7" t="s">
        <v>656</v>
      </c>
      <c r="E448" s="7" t="s">
        <v>715</v>
      </c>
      <c r="F448" s="7" t="s">
        <v>657</v>
      </c>
      <c r="G448" s="46" t="s">
        <v>706</v>
      </c>
      <c r="H448" s="46" t="s">
        <v>707</v>
      </c>
      <c r="I448" s="10" t="s">
        <v>717</v>
      </c>
    </row>
    <row r="449" spans="1:9" ht="20.25" customHeight="1">
      <c r="A449" s="28">
        <v>1</v>
      </c>
      <c r="B449" s="537">
        <v>2</v>
      </c>
      <c r="C449" s="538"/>
      <c r="D449" s="11">
        <v>3</v>
      </c>
      <c r="E449" s="11">
        <v>4</v>
      </c>
      <c r="F449" s="11">
        <v>5</v>
      </c>
      <c r="G449" s="11">
        <v>6</v>
      </c>
      <c r="H449" s="47">
        <v>7</v>
      </c>
      <c r="I449" s="28">
        <v>8</v>
      </c>
    </row>
    <row r="450" spans="1:9" ht="20.25" customHeight="1">
      <c r="A450" s="24">
        <v>11100</v>
      </c>
      <c r="B450" s="483" t="s">
        <v>102</v>
      </c>
      <c r="C450" s="484"/>
      <c r="D450" s="398">
        <v>3413296.76</v>
      </c>
      <c r="E450" s="53"/>
      <c r="F450" s="25">
        <v>3720726.11</v>
      </c>
      <c r="G450" s="15">
        <f>F450/D450</f>
        <v>1.0900681574490465</v>
      </c>
      <c r="H450" s="50" t="e">
        <f>F450/E450</f>
        <v>#DIV/0!</v>
      </c>
      <c r="I450" s="16">
        <f>F450/F456</f>
        <v>0.8590571255380521</v>
      </c>
    </row>
    <row r="451" spans="1:9" ht="20.25" customHeight="1">
      <c r="A451" s="24">
        <v>11115</v>
      </c>
      <c r="B451" s="483" t="s">
        <v>551</v>
      </c>
      <c r="C451" s="484"/>
      <c r="D451" s="398">
        <v>16328.16</v>
      </c>
      <c r="E451" s="53"/>
      <c r="F451" s="25">
        <v>17014.6</v>
      </c>
      <c r="G451" s="15">
        <f aca="true" t="shared" si="19" ref="G451:G456">F451/D451</f>
        <v>1.0420402543826126</v>
      </c>
      <c r="H451" s="50" t="e">
        <f aca="true" t="shared" si="20" ref="H451:H456">F451/E451</f>
        <v>#DIV/0!</v>
      </c>
      <c r="I451" s="16">
        <f>F451/F456</f>
        <v>0.003928403471810437</v>
      </c>
    </row>
    <row r="452" spans="1:9" ht="20.25" customHeight="1">
      <c r="A452" s="24">
        <v>11400</v>
      </c>
      <c r="B452" s="483" t="s">
        <v>586</v>
      </c>
      <c r="C452" s="484"/>
      <c r="D452" s="398">
        <v>6110.9</v>
      </c>
      <c r="E452" s="53"/>
      <c r="F452" s="25">
        <f>10616.2+483.9</f>
        <v>11100.1</v>
      </c>
      <c r="G452" s="15">
        <f t="shared" si="19"/>
        <v>1.8164427498404492</v>
      </c>
      <c r="H452" s="50" t="e">
        <f t="shared" si="20"/>
        <v>#DIV/0!</v>
      </c>
      <c r="I452" s="16">
        <f>F452/F456</f>
        <v>0.0025628384668133857</v>
      </c>
    </row>
    <row r="453" spans="1:9" ht="20.25" customHeight="1">
      <c r="A453" s="24">
        <v>11500</v>
      </c>
      <c r="B453" s="483" t="s">
        <v>1131</v>
      </c>
      <c r="C453" s="484"/>
      <c r="D453" s="398">
        <v>142247.41</v>
      </c>
      <c r="E453" s="53"/>
      <c r="F453" s="25">
        <v>169906.81</v>
      </c>
      <c r="G453" s="15">
        <f t="shared" si="19"/>
        <v>1.1944457196092357</v>
      </c>
      <c r="H453" s="50" t="e">
        <f t="shared" si="20"/>
        <v>#DIV/0!</v>
      </c>
      <c r="I453" s="16">
        <f>F453/F456</f>
        <v>0.039228809509964165</v>
      </c>
    </row>
    <row r="454" spans="1:9" ht="20.25" customHeight="1">
      <c r="A454" s="24">
        <v>11600</v>
      </c>
      <c r="B454" s="483" t="s">
        <v>552</v>
      </c>
      <c r="C454" s="484"/>
      <c r="D454" s="398">
        <v>188369.95</v>
      </c>
      <c r="E454" s="53"/>
      <c r="F454" s="25">
        <v>206213.32</v>
      </c>
      <c r="G454" s="15">
        <f t="shared" si="19"/>
        <v>1.0947251406076182</v>
      </c>
      <c r="H454" s="50" t="e">
        <f t="shared" si="20"/>
        <v>#DIV/0!</v>
      </c>
      <c r="I454" s="16">
        <f>F454/F456</f>
        <v>0.04761141150667995</v>
      </c>
    </row>
    <row r="455" spans="1:9" ht="20.25" customHeight="1">
      <c r="A455" s="24">
        <v>11700</v>
      </c>
      <c r="B455" s="483" t="s">
        <v>553</v>
      </c>
      <c r="C455" s="484"/>
      <c r="D455" s="398">
        <v>188081.95</v>
      </c>
      <c r="E455" s="53"/>
      <c r="F455" s="25">
        <v>206213.32</v>
      </c>
      <c r="G455" s="15">
        <f t="shared" si="19"/>
        <v>1.0964014356507894</v>
      </c>
      <c r="H455" s="50" t="e">
        <f t="shared" si="20"/>
        <v>#DIV/0!</v>
      </c>
      <c r="I455" s="16">
        <f>F455/F456</f>
        <v>0.04761141150667995</v>
      </c>
    </row>
    <row r="456" spans="1:9" ht="30" customHeight="1">
      <c r="A456" s="182"/>
      <c r="B456" s="495" t="s">
        <v>69</v>
      </c>
      <c r="C456" s="496"/>
      <c r="D456" s="36">
        <f>SUM(D450:D455)</f>
        <v>3954435.1300000004</v>
      </c>
      <c r="E456" s="36">
        <v>10283856</v>
      </c>
      <c r="F456" s="36">
        <f>SUM(F450:F455)</f>
        <v>4331174.26</v>
      </c>
      <c r="G456" s="20">
        <f t="shared" si="19"/>
        <v>1.0952700240653586</v>
      </c>
      <c r="H456" s="20">
        <f t="shared" si="20"/>
        <v>0.4211624764096269</v>
      </c>
      <c r="I456" s="21">
        <f>SUM(I450:I455)</f>
        <v>1</v>
      </c>
    </row>
    <row r="457" spans="1:9" ht="20.25" customHeight="1">
      <c r="A457" s="40"/>
      <c r="B457" s="40"/>
      <c r="C457" s="40"/>
      <c r="D457" s="40"/>
      <c r="E457" s="40"/>
      <c r="F457" s="40"/>
      <c r="G457" s="40"/>
      <c r="H457" s="40"/>
      <c r="I457" s="135"/>
    </row>
    <row r="458" spans="1:9" ht="20.25" customHeight="1">
      <c r="A458" s="486" t="s">
        <v>528</v>
      </c>
      <c r="B458" s="486"/>
      <c r="C458" s="486"/>
      <c r="D458" s="486"/>
      <c r="E458" s="486"/>
      <c r="F458" s="486"/>
      <c r="G458" s="486"/>
      <c r="H458" s="486"/>
      <c r="I458" s="486"/>
    </row>
    <row r="459" spans="1:9" ht="20.25" customHeight="1">
      <c r="A459" s="486" t="s">
        <v>363</v>
      </c>
      <c r="B459" s="486"/>
      <c r="C459" s="486"/>
      <c r="D459" s="486"/>
      <c r="E459" s="486"/>
      <c r="F459" s="486"/>
      <c r="G459" s="486"/>
      <c r="H459" s="486"/>
      <c r="I459" s="486"/>
    </row>
    <row r="460" spans="1:9" ht="20.25" customHeight="1">
      <c r="A460" s="39" t="s">
        <v>364</v>
      </c>
      <c r="B460" s="39"/>
      <c r="C460" s="39"/>
      <c r="D460" s="39"/>
      <c r="E460" s="39"/>
      <c r="F460" s="39"/>
      <c r="G460" s="39"/>
      <c r="H460" s="39"/>
      <c r="I460" s="39"/>
    </row>
    <row r="461" spans="1:9" ht="20.25" customHeight="1">
      <c r="A461" s="486" t="s">
        <v>527</v>
      </c>
      <c r="B461" s="486"/>
      <c r="C461" s="486"/>
      <c r="D461" s="486"/>
      <c r="E461" s="486"/>
      <c r="F461" s="486"/>
      <c r="G461" s="486"/>
      <c r="H461" s="486"/>
      <c r="I461" s="486"/>
    </row>
    <row r="462" spans="1:9" ht="20.25" customHeight="1">
      <c r="A462" s="486" t="s">
        <v>415</v>
      </c>
      <c r="B462" s="486"/>
      <c r="C462" s="486"/>
      <c r="D462" s="486"/>
      <c r="E462" s="486"/>
      <c r="F462" s="486"/>
      <c r="G462" s="486"/>
      <c r="H462" s="486"/>
      <c r="I462" s="486"/>
    </row>
    <row r="463" spans="1:9" ht="20.25" customHeight="1">
      <c r="A463" s="40"/>
      <c r="B463" s="40"/>
      <c r="C463" s="40"/>
      <c r="D463" s="487" t="s">
        <v>682</v>
      </c>
      <c r="E463" s="487"/>
      <c r="F463" s="487"/>
      <c r="G463" s="40"/>
      <c r="H463" s="40"/>
      <c r="I463" s="135"/>
    </row>
    <row r="464" spans="1:9" ht="20.25" customHeight="1">
      <c r="A464" s="40"/>
      <c r="B464" s="40"/>
      <c r="C464" s="40"/>
      <c r="D464" s="40"/>
      <c r="E464" s="40"/>
      <c r="F464" s="40"/>
      <c r="G464" s="40"/>
      <c r="H464" s="40"/>
      <c r="I464" s="135"/>
    </row>
    <row r="465" spans="1:9" ht="20.25" customHeight="1">
      <c r="A465" s="22" t="s">
        <v>683</v>
      </c>
      <c r="B465" s="491" t="s">
        <v>688</v>
      </c>
      <c r="C465" s="492"/>
      <c r="D465" s="5" t="s">
        <v>686</v>
      </c>
      <c r="E465" s="5" t="s">
        <v>712</v>
      </c>
      <c r="F465" s="5" t="s">
        <v>686</v>
      </c>
      <c r="G465" s="510" t="s">
        <v>713</v>
      </c>
      <c r="H465" s="511"/>
      <c r="I465" s="6" t="s">
        <v>714</v>
      </c>
    </row>
    <row r="466" spans="1:9" ht="20.25" customHeight="1">
      <c r="A466" s="23" t="s">
        <v>684</v>
      </c>
      <c r="B466" s="493"/>
      <c r="C466" s="494"/>
      <c r="D466" s="7" t="s">
        <v>656</v>
      </c>
      <c r="E466" s="7" t="s">
        <v>715</v>
      </c>
      <c r="F466" s="7" t="s">
        <v>657</v>
      </c>
      <c r="G466" s="8" t="s">
        <v>706</v>
      </c>
      <c r="H466" s="9" t="s">
        <v>707</v>
      </c>
      <c r="I466" s="10" t="s">
        <v>717</v>
      </c>
    </row>
    <row r="467" spans="1:9" ht="20.25" customHeight="1">
      <c r="A467" s="63">
        <v>1</v>
      </c>
      <c r="B467" s="546">
        <v>2</v>
      </c>
      <c r="C467" s="547"/>
      <c r="D467" s="12">
        <v>3</v>
      </c>
      <c r="E467" s="12">
        <v>4</v>
      </c>
      <c r="F467" s="12">
        <v>5</v>
      </c>
      <c r="G467" s="12">
        <v>6</v>
      </c>
      <c r="H467" s="12">
        <v>7</v>
      </c>
      <c r="I467" s="13">
        <v>8</v>
      </c>
    </row>
    <row r="468" spans="1:9" ht="20.25" customHeight="1">
      <c r="A468" s="24">
        <v>16019</v>
      </c>
      <c r="B468" s="483" t="s">
        <v>145</v>
      </c>
      <c r="C468" s="484"/>
      <c r="D468" s="398">
        <f>41209.82+1102.5</f>
        <v>42312.32</v>
      </c>
      <c r="E468" s="25">
        <v>111300</v>
      </c>
      <c r="F468" s="25">
        <v>35817.01</v>
      </c>
      <c r="G468" s="26">
        <f>F468/D468</f>
        <v>0.8464912819717757</v>
      </c>
      <c r="H468" s="27">
        <f>F468/E468</f>
        <v>0.32180601976639717</v>
      </c>
      <c r="I468" s="16">
        <f>F468/F493</f>
        <v>0.00826958414737162</v>
      </c>
    </row>
    <row r="469" spans="1:9" ht="20.25" customHeight="1">
      <c r="A469" s="24">
        <v>16319</v>
      </c>
      <c r="B469" s="483" t="s">
        <v>72</v>
      </c>
      <c r="C469" s="484"/>
      <c r="D469" s="398">
        <v>93632.64</v>
      </c>
      <c r="E469" s="25">
        <v>230128</v>
      </c>
      <c r="F469" s="25">
        <v>88273.51</v>
      </c>
      <c r="G469" s="26">
        <f aca="true" t="shared" si="21" ref="G469:G493">F469/D469</f>
        <v>0.9427642967238774</v>
      </c>
      <c r="H469" s="27">
        <f aca="true" t="shared" si="22" ref="H469:H493">F469/E469</f>
        <v>0.38358439650976844</v>
      </c>
      <c r="I469" s="16">
        <f>F469/F493</f>
        <v>0.02038096476866299</v>
      </c>
    </row>
    <row r="470" spans="1:9" ht="20.25" customHeight="1">
      <c r="A470" s="24">
        <v>16637</v>
      </c>
      <c r="B470" s="483" t="s">
        <v>73</v>
      </c>
      <c r="C470" s="484"/>
      <c r="D470" s="398">
        <v>45302.01</v>
      </c>
      <c r="E470" s="25">
        <v>121000</v>
      </c>
      <c r="F470" s="25">
        <v>48444.97</v>
      </c>
      <c r="G470" s="26">
        <f t="shared" si="21"/>
        <v>1.0693779370937404</v>
      </c>
      <c r="H470" s="27">
        <f t="shared" si="22"/>
        <v>0.400371652892562</v>
      </c>
      <c r="I470" s="16">
        <f>F470/F493</f>
        <v>0.011185181452385156</v>
      </c>
    </row>
    <row r="471" spans="1:9" ht="20.25" customHeight="1">
      <c r="A471" s="24">
        <v>16795</v>
      </c>
      <c r="B471" s="483" t="s">
        <v>74</v>
      </c>
      <c r="C471" s="484"/>
      <c r="D471" s="398">
        <v>9706.01</v>
      </c>
      <c r="E471" s="25">
        <v>30000</v>
      </c>
      <c r="F471" s="25">
        <v>10841.36</v>
      </c>
      <c r="G471" s="26">
        <f t="shared" si="21"/>
        <v>1.1169739161612238</v>
      </c>
      <c r="H471" s="27">
        <f t="shared" si="22"/>
        <v>0.3613786666666667</v>
      </c>
      <c r="I471" s="16">
        <f>F471/F493</f>
        <v>0.0025030994712274637</v>
      </c>
    </row>
    <row r="472" spans="1:9" ht="20.25" customHeight="1">
      <c r="A472" s="24">
        <v>16919</v>
      </c>
      <c r="B472" s="483" t="s">
        <v>75</v>
      </c>
      <c r="C472" s="484"/>
      <c r="D472" s="398">
        <v>56501.25</v>
      </c>
      <c r="E472" s="25">
        <v>138590</v>
      </c>
      <c r="F472" s="25">
        <v>58295.5</v>
      </c>
      <c r="G472" s="26">
        <f t="shared" si="21"/>
        <v>1.0317559346032168</v>
      </c>
      <c r="H472" s="27">
        <f t="shared" si="22"/>
        <v>0.4206328017894509</v>
      </c>
      <c r="I472" s="16">
        <f>F472/F493</f>
        <v>0.01345951386403003</v>
      </c>
    </row>
    <row r="473" spans="1:9" ht="20.25" customHeight="1">
      <c r="A473" s="24">
        <v>17519</v>
      </c>
      <c r="B473" s="483" t="s">
        <v>76</v>
      </c>
      <c r="C473" s="484"/>
      <c r="D473" s="398">
        <v>53242.26</v>
      </c>
      <c r="E473" s="25">
        <v>165000</v>
      </c>
      <c r="F473" s="25">
        <v>57367.92</v>
      </c>
      <c r="G473" s="26">
        <f t="shared" si="21"/>
        <v>1.0774884462079557</v>
      </c>
      <c r="H473" s="27">
        <f t="shared" si="22"/>
        <v>0.3476843636363636</v>
      </c>
      <c r="I473" s="16">
        <f>F473/F493</f>
        <v>0.013245350234418876</v>
      </c>
    </row>
    <row r="474" spans="1:9" ht="20.25" customHeight="1">
      <c r="A474" s="24">
        <v>18019</v>
      </c>
      <c r="B474" s="483" t="s">
        <v>77</v>
      </c>
      <c r="C474" s="484"/>
      <c r="D474" s="398">
        <v>18233.35</v>
      </c>
      <c r="E474" s="25">
        <v>60000</v>
      </c>
      <c r="F474" s="25">
        <v>22319</v>
      </c>
      <c r="G474" s="26">
        <f t="shared" si="21"/>
        <v>1.2240756635505818</v>
      </c>
      <c r="H474" s="27">
        <f t="shared" si="22"/>
        <v>0.37198333333333333</v>
      </c>
      <c r="I474" s="16">
        <f>F474/F493</f>
        <v>0.005153105984703557</v>
      </c>
    </row>
    <row r="475" spans="1:9" ht="20.25" customHeight="1">
      <c r="A475" s="24">
        <v>18423</v>
      </c>
      <c r="B475" s="483" t="s">
        <v>78</v>
      </c>
      <c r="C475" s="484"/>
      <c r="D475" s="398">
        <v>85937.13</v>
      </c>
      <c r="E475" s="25">
        <v>225000</v>
      </c>
      <c r="F475" s="25">
        <v>92387.72</v>
      </c>
      <c r="G475" s="26">
        <f t="shared" si="21"/>
        <v>1.075061734083975</v>
      </c>
      <c r="H475" s="27">
        <f t="shared" si="22"/>
        <v>0.4106120888888889</v>
      </c>
      <c r="I475" s="16">
        <f>F475/F493</f>
        <v>0.021330871134240627</v>
      </c>
    </row>
    <row r="476" spans="1:9" ht="20.25" customHeight="1">
      <c r="A476" s="24">
        <v>19595</v>
      </c>
      <c r="B476" s="483" t="s">
        <v>79</v>
      </c>
      <c r="C476" s="484"/>
      <c r="D476" s="398">
        <v>12314.37</v>
      </c>
      <c r="E476" s="25">
        <v>40000</v>
      </c>
      <c r="F476" s="25">
        <v>14117.57</v>
      </c>
      <c r="G476" s="26">
        <f t="shared" si="21"/>
        <v>1.1464305522734821</v>
      </c>
      <c r="H476" s="27">
        <f t="shared" si="22"/>
        <v>0.35293925</v>
      </c>
      <c r="I476" s="16">
        <f>F476/F493</f>
        <v>0.003259524819950329</v>
      </c>
    </row>
    <row r="477" spans="1:9" ht="20.25" customHeight="1">
      <c r="A477" s="24">
        <v>47019</v>
      </c>
      <c r="B477" s="483" t="s">
        <v>80</v>
      </c>
      <c r="C477" s="484"/>
      <c r="D477" s="398">
        <v>28993.5</v>
      </c>
      <c r="E477" s="25">
        <v>95000</v>
      </c>
      <c r="F477" s="25">
        <v>33474.05</v>
      </c>
      <c r="G477" s="26">
        <f t="shared" si="21"/>
        <v>1.1545363615982893</v>
      </c>
      <c r="H477" s="27">
        <f t="shared" si="22"/>
        <v>0.3523584210526316</v>
      </c>
      <c r="I477" s="16">
        <f>F477/F493</f>
        <v>0.007728631542061299</v>
      </c>
    </row>
    <row r="478" spans="1:9" ht="20.25" customHeight="1">
      <c r="A478" s="24">
        <v>48019</v>
      </c>
      <c r="B478" s="483" t="s">
        <v>81</v>
      </c>
      <c r="C478" s="484"/>
      <c r="D478" s="398">
        <v>18008.31</v>
      </c>
      <c r="E478" s="25">
        <v>35000</v>
      </c>
      <c r="F478" s="25">
        <v>26690.6</v>
      </c>
      <c r="G478" s="26">
        <f t="shared" si="21"/>
        <v>1.4821268625429036</v>
      </c>
      <c r="H478" s="27">
        <f t="shared" si="22"/>
        <v>0.7625885714285714</v>
      </c>
      <c r="I478" s="16">
        <f>F478/F493</f>
        <v>0.0061624396521048775</v>
      </c>
    </row>
    <row r="479" spans="1:9" ht="20.25" customHeight="1">
      <c r="A479" s="24">
        <v>65095</v>
      </c>
      <c r="B479" s="483" t="s">
        <v>82</v>
      </c>
      <c r="C479" s="484"/>
      <c r="D479" s="398">
        <v>26562.78</v>
      </c>
      <c r="E479" s="25">
        <v>78289</v>
      </c>
      <c r="F479" s="25">
        <v>29772.8</v>
      </c>
      <c r="G479" s="26">
        <f t="shared" si="21"/>
        <v>1.120846537900024</v>
      </c>
      <c r="H479" s="27">
        <f t="shared" si="22"/>
        <v>0.3802935278263868</v>
      </c>
      <c r="I479" s="16">
        <f>F479/F493</f>
        <v>0.006874071143930376</v>
      </c>
    </row>
    <row r="480" spans="1:9" ht="20.25" customHeight="1">
      <c r="A480" s="24">
        <v>65495</v>
      </c>
      <c r="B480" s="483" t="s">
        <v>910</v>
      </c>
      <c r="C480" s="484"/>
      <c r="D480" s="398">
        <v>3393.6</v>
      </c>
      <c r="E480" s="25">
        <v>24000</v>
      </c>
      <c r="F480" s="25">
        <v>8363.85</v>
      </c>
      <c r="G480" s="15">
        <f t="shared" si="21"/>
        <v>2.4645951202263086</v>
      </c>
      <c r="H480" s="27">
        <f t="shared" si="22"/>
        <v>0.34849375</v>
      </c>
      <c r="I480" s="16">
        <f>F480/F493</f>
        <v>0.001931081387614268</v>
      </c>
    </row>
    <row r="481" spans="1:9" ht="20.25" customHeight="1">
      <c r="A481" s="24">
        <v>66400</v>
      </c>
      <c r="B481" s="483" t="s">
        <v>84</v>
      </c>
      <c r="C481" s="484"/>
      <c r="D481" s="398">
        <v>20577.78</v>
      </c>
      <c r="E481" s="25">
        <v>55000</v>
      </c>
      <c r="F481" s="25">
        <v>23965.76</v>
      </c>
      <c r="G481" s="15">
        <f t="shared" si="21"/>
        <v>1.1646426388074904</v>
      </c>
      <c r="H481" s="27">
        <f t="shared" si="22"/>
        <v>0.43574109090909086</v>
      </c>
      <c r="I481" s="16">
        <f>F481/F493</f>
        <v>0.0055333169624073265</v>
      </c>
    </row>
    <row r="482" spans="1:9" ht="20.25" customHeight="1">
      <c r="A482" s="35"/>
      <c r="B482" s="530" t="s">
        <v>85</v>
      </c>
      <c r="C482" s="531"/>
      <c r="D482" s="346">
        <f>D483+D484+D485</f>
        <v>724813.5199999999</v>
      </c>
      <c r="E482" s="36">
        <f>E483+E484+E485</f>
        <v>1889581</v>
      </c>
      <c r="F482" s="85">
        <f>F483+F484+F485</f>
        <v>782499.7999999999</v>
      </c>
      <c r="G482" s="37">
        <f t="shared" si="21"/>
        <v>1.0795877538266672</v>
      </c>
      <c r="H482" s="38">
        <f t="shared" si="22"/>
        <v>0.4141128641746503</v>
      </c>
      <c r="I482" s="21">
        <f>F482/F493</f>
        <v>0.1806668937859822</v>
      </c>
    </row>
    <row r="483" spans="1:9" ht="20.25" customHeight="1">
      <c r="A483" s="24">
        <v>73028</v>
      </c>
      <c r="B483" s="483" t="s">
        <v>86</v>
      </c>
      <c r="C483" s="484"/>
      <c r="D483" s="398">
        <v>8848.96</v>
      </c>
      <c r="E483" s="54">
        <v>30328</v>
      </c>
      <c r="F483" s="54">
        <v>10400.85</v>
      </c>
      <c r="G483" s="55">
        <f t="shared" si="21"/>
        <v>1.1753754113477743</v>
      </c>
      <c r="H483" s="56">
        <f t="shared" si="22"/>
        <v>0.34294546293853867</v>
      </c>
      <c r="I483" s="57">
        <f>F483/F482</f>
        <v>0.013291824483533415</v>
      </c>
    </row>
    <row r="484" spans="1:9" ht="20.25" customHeight="1">
      <c r="A484" s="24">
        <v>74100</v>
      </c>
      <c r="B484" s="483" t="s">
        <v>87</v>
      </c>
      <c r="C484" s="484"/>
      <c r="D484" s="398">
        <v>689748.57</v>
      </c>
      <c r="E484" s="54">
        <v>1769253</v>
      </c>
      <c r="F484" s="54">
        <v>740358.51</v>
      </c>
      <c r="G484" s="55">
        <f t="shared" si="21"/>
        <v>1.0733744761515056</v>
      </c>
      <c r="H484" s="56">
        <f t="shared" si="22"/>
        <v>0.41845824763332323</v>
      </c>
      <c r="I484" s="57">
        <f>F484/F482</f>
        <v>0.9461453025291509</v>
      </c>
    </row>
    <row r="485" spans="1:9" ht="20.25" customHeight="1">
      <c r="A485" s="24">
        <v>75590</v>
      </c>
      <c r="B485" s="483" t="s">
        <v>88</v>
      </c>
      <c r="C485" s="484"/>
      <c r="D485" s="398">
        <v>26215.99</v>
      </c>
      <c r="E485" s="54">
        <v>90000</v>
      </c>
      <c r="F485" s="54">
        <v>31740.44</v>
      </c>
      <c r="G485" s="55">
        <f t="shared" si="21"/>
        <v>1.2107282616448967</v>
      </c>
      <c r="H485" s="56">
        <f t="shared" si="22"/>
        <v>0.3526715555555555</v>
      </c>
      <c r="I485" s="57">
        <f>F485/F482</f>
        <v>0.040562872987315785</v>
      </c>
    </row>
    <row r="486" spans="1:9" ht="20.25" customHeight="1">
      <c r="A486" s="24">
        <v>76095</v>
      </c>
      <c r="B486" s="483" t="s">
        <v>89</v>
      </c>
      <c r="C486" s="484"/>
      <c r="D486" s="398">
        <v>0</v>
      </c>
      <c r="E486" s="54">
        <v>0</v>
      </c>
      <c r="F486" s="54">
        <v>0</v>
      </c>
      <c r="G486" s="58" t="e">
        <f t="shared" si="21"/>
        <v>#DIV/0!</v>
      </c>
      <c r="H486" s="57" t="e">
        <f t="shared" si="22"/>
        <v>#DIV/0!</v>
      </c>
      <c r="I486" s="57">
        <f>F486/F493</f>
        <v>0</v>
      </c>
    </row>
    <row r="487" spans="1:9" ht="20.25" customHeight="1">
      <c r="A487" s="24">
        <v>85019</v>
      </c>
      <c r="B487" s="483" t="s">
        <v>90</v>
      </c>
      <c r="C487" s="484"/>
      <c r="D487" s="398">
        <v>74124.25</v>
      </c>
      <c r="E487" s="54">
        <v>196000</v>
      </c>
      <c r="F487" s="54">
        <v>75290.41</v>
      </c>
      <c r="G487" s="55">
        <f t="shared" si="21"/>
        <v>1.015732503195648</v>
      </c>
      <c r="H487" s="56">
        <f t="shared" si="22"/>
        <v>0.3841347448979592</v>
      </c>
      <c r="I487" s="57">
        <f>F487/F493</f>
        <v>0.017383371224597186</v>
      </c>
    </row>
    <row r="488" spans="1:9" ht="20.25" customHeight="1">
      <c r="A488" s="35"/>
      <c r="B488" s="530" t="s">
        <v>91</v>
      </c>
      <c r="C488" s="531"/>
      <c r="D488" s="346">
        <f>D489+D490+D491+D492</f>
        <v>2640780.05</v>
      </c>
      <c r="E488" s="36">
        <f>E489+E490+E491+E492</f>
        <v>6789968</v>
      </c>
      <c r="F488" s="36">
        <f>F489+F490+F491+F492</f>
        <v>2923252.43</v>
      </c>
      <c r="G488" s="37">
        <f t="shared" si="21"/>
        <v>1.1069655081649077</v>
      </c>
      <c r="H488" s="38">
        <f t="shared" si="22"/>
        <v>0.4305252145518212</v>
      </c>
      <c r="I488" s="21">
        <f>F488/F493</f>
        <v>0.6749329984243119</v>
      </c>
    </row>
    <row r="489" spans="1:9" ht="20.25" customHeight="1">
      <c r="A489" s="24">
        <v>92095</v>
      </c>
      <c r="B489" s="483" t="s">
        <v>86</v>
      </c>
      <c r="C489" s="484"/>
      <c r="D489" s="398">
        <v>22534.05</v>
      </c>
      <c r="E489" s="25">
        <v>56032.8</v>
      </c>
      <c r="F489" s="25">
        <v>22694.96</v>
      </c>
      <c r="G489" s="26">
        <f t="shared" si="21"/>
        <v>1.0071407492217332</v>
      </c>
      <c r="H489" s="27">
        <f t="shared" si="22"/>
        <v>0.405029911052098</v>
      </c>
      <c r="I489" s="16">
        <f>F489/F488</f>
        <v>0.007763599122365221</v>
      </c>
    </row>
    <row r="490" spans="1:9" ht="20.25" customHeight="1">
      <c r="A490" s="24">
        <v>92570</v>
      </c>
      <c r="B490" s="483" t="s">
        <v>92</v>
      </c>
      <c r="C490" s="484"/>
      <c r="D490" s="398">
        <v>87437.47</v>
      </c>
      <c r="E490" s="25">
        <v>225360</v>
      </c>
      <c r="F490" s="25">
        <v>96859.97</v>
      </c>
      <c r="G490" s="26">
        <f t="shared" si="21"/>
        <v>1.1077627246076538</v>
      </c>
      <c r="H490" s="27">
        <f t="shared" si="22"/>
        <v>0.42980107383741567</v>
      </c>
      <c r="I490" s="16">
        <f>F490/F488</f>
        <v>0.03313431608094139</v>
      </c>
    </row>
    <row r="491" spans="1:9" ht="20.25" customHeight="1">
      <c r="A491" s="24">
        <v>93540</v>
      </c>
      <c r="B491" s="483" t="s">
        <v>93</v>
      </c>
      <c r="C491" s="484"/>
      <c r="D491" s="398">
        <v>1740190.31</v>
      </c>
      <c r="E491" s="25">
        <v>4447688.48</v>
      </c>
      <c r="F491" s="25">
        <v>1904496.08</v>
      </c>
      <c r="G491" s="26">
        <f t="shared" si="21"/>
        <v>1.0944182765849328</v>
      </c>
      <c r="H491" s="27">
        <f t="shared" si="22"/>
        <v>0.42819907207170227</v>
      </c>
      <c r="I491" s="16">
        <f>F491/F488</f>
        <v>0.6514990154305628</v>
      </c>
    </row>
    <row r="492" spans="1:9" ht="20.25" customHeight="1">
      <c r="A492" s="24">
        <v>94740</v>
      </c>
      <c r="B492" s="483" t="s">
        <v>554</v>
      </c>
      <c r="C492" s="484"/>
      <c r="D492" s="398">
        <v>790618.22</v>
      </c>
      <c r="E492" s="25">
        <v>2060886.72</v>
      </c>
      <c r="F492" s="25">
        <v>899201.42</v>
      </c>
      <c r="G492" s="26">
        <f t="shared" si="21"/>
        <v>1.1373396125376418</v>
      </c>
      <c r="H492" s="27">
        <f t="shared" si="22"/>
        <v>0.43631773220412623</v>
      </c>
      <c r="I492" s="16">
        <f>F492/F488</f>
        <v>0.30760306936613063</v>
      </c>
    </row>
    <row r="493" spans="1:9" ht="35.25" customHeight="1">
      <c r="A493" s="182"/>
      <c r="B493" s="495" t="s">
        <v>95</v>
      </c>
      <c r="C493" s="496"/>
      <c r="D493" s="36">
        <f>D468+D469+D470+D471+D472+D473+D474+D475+D476+D477+D478+D479+D480+D481+D482+D487+D488</f>
        <v>3954435.13</v>
      </c>
      <c r="E493" s="269">
        <f>E468+E469+E470+E471+E472+E473+E474+E475+E476+E477+E478+E479+E480+E481+E482+E487+E488</f>
        <v>10283856</v>
      </c>
      <c r="F493" s="269">
        <f>F468+F469+F470+F471+F472+F473+F474+F475+F476+F477+F478+F479+F480+F481+F482+F486+F487+F488</f>
        <v>4331174.26</v>
      </c>
      <c r="G493" s="20">
        <f t="shared" si="21"/>
        <v>1.0952700240653588</v>
      </c>
      <c r="H493" s="21">
        <f t="shared" si="22"/>
        <v>0.4211624764096269</v>
      </c>
      <c r="I493" s="21">
        <f>SUM(I468+I469+I470+I471+I472+I473+I474+I475+I476+I477+I478+I479+I480+I481+I482+I487+I488)</f>
        <v>1</v>
      </c>
    </row>
    <row r="494" spans="1:9" ht="20.25" customHeight="1">
      <c r="A494" s="41"/>
      <c r="B494" s="41"/>
      <c r="C494" s="41"/>
      <c r="D494" s="41"/>
      <c r="E494" s="41"/>
      <c r="F494" s="41"/>
      <c r="G494" s="41"/>
      <c r="H494" s="41"/>
      <c r="I494" s="135"/>
    </row>
    <row r="495" spans="1:9" ht="20.25" customHeight="1">
      <c r="A495" s="59"/>
      <c r="B495" s="486" t="s">
        <v>417</v>
      </c>
      <c r="C495" s="486"/>
      <c r="D495" s="486"/>
      <c r="E495" s="486"/>
      <c r="F495" s="486"/>
      <c r="G495" s="486"/>
      <c r="H495" s="486"/>
      <c r="I495" s="486"/>
    </row>
    <row r="496" spans="1:9" ht="20.25" customHeight="1">
      <c r="A496" s="639">
        <v>6</v>
      </c>
      <c r="B496" s="639"/>
      <c r="C496" s="639"/>
      <c r="D496" s="639"/>
      <c r="E496" s="639"/>
      <c r="F496" s="639"/>
      <c r="G496" s="639"/>
      <c r="H496" s="639"/>
      <c r="I496" s="639"/>
    </row>
    <row r="497" spans="1:9" ht="20.25" customHeight="1">
      <c r="A497" s="82"/>
      <c r="B497" s="82"/>
      <c r="C497" s="82"/>
      <c r="D497" s="82"/>
      <c r="E497" s="82"/>
      <c r="F497" s="82"/>
      <c r="G497" s="82"/>
      <c r="H497" s="82"/>
      <c r="I497" s="82"/>
    </row>
    <row r="498" spans="1:9" ht="20.25" customHeight="1">
      <c r="A498" s="82"/>
      <c r="B498" s="82"/>
      <c r="C498" s="82"/>
      <c r="D498" s="82"/>
      <c r="E498" s="82"/>
      <c r="F498" s="82"/>
      <c r="G498" s="82"/>
      <c r="H498" s="82"/>
      <c r="I498" s="82"/>
    </row>
    <row r="499" spans="1:9" ht="20.25" customHeight="1">
      <c r="A499" s="41"/>
      <c r="B499" s="41"/>
      <c r="C499" s="41"/>
      <c r="D499" s="41"/>
      <c r="E499" s="41"/>
      <c r="F499" s="41"/>
      <c r="G499" s="41"/>
      <c r="H499" s="41"/>
      <c r="I499" s="41"/>
    </row>
    <row r="500" spans="1:9" ht="30" customHeight="1">
      <c r="A500" s="633" t="s">
        <v>529</v>
      </c>
      <c r="B500" s="633"/>
      <c r="C500" s="633"/>
      <c r="D500" s="633"/>
      <c r="E500" s="40"/>
      <c r="F500" s="347"/>
      <c r="G500" s="40"/>
      <c r="H500" s="40"/>
      <c r="I500" s="135"/>
    </row>
    <row r="501" spans="1:9" ht="30" customHeight="1">
      <c r="A501" s="476"/>
      <c r="B501" s="476"/>
      <c r="C501" s="476"/>
      <c r="D501" s="476"/>
      <c r="E501" s="40"/>
      <c r="F501" s="347"/>
      <c r="G501" s="40"/>
      <c r="H501" s="40"/>
      <c r="I501" s="135"/>
    </row>
    <row r="502" spans="1:9" ht="20.25" customHeight="1">
      <c r="A502" s="40"/>
      <c r="B502" s="61"/>
      <c r="C502" s="61"/>
      <c r="D502" s="60"/>
      <c r="E502" s="40"/>
      <c r="F502" s="40"/>
      <c r="G502" s="40"/>
      <c r="H502" s="40"/>
      <c r="I502" s="135"/>
    </row>
    <row r="503" spans="1:9" ht="20.25" customHeight="1">
      <c r="A503" s="39"/>
      <c r="B503" s="204"/>
      <c r="C503" s="204"/>
      <c r="D503" s="204"/>
      <c r="E503" s="39"/>
      <c r="F503" s="39"/>
      <c r="G503" s="39"/>
      <c r="H503" s="39"/>
      <c r="I503" s="138"/>
    </row>
    <row r="504" spans="1:9" ht="20.25" customHeight="1">
      <c r="A504" s="486" t="s">
        <v>531</v>
      </c>
      <c r="B504" s="486"/>
      <c r="C504" s="486"/>
      <c r="D504" s="486"/>
      <c r="E504" s="486"/>
      <c r="F504" s="486"/>
      <c r="G504" s="486"/>
      <c r="H504" s="486"/>
      <c r="I504" s="486"/>
    </row>
    <row r="505" spans="1:9" ht="20.25" customHeight="1">
      <c r="A505" s="486" t="s">
        <v>947</v>
      </c>
      <c r="B505" s="486"/>
      <c r="C505" s="486"/>
      <c r="D505" s="486"/>
      <c r="E505" s="486"/>
      <c r="F505" s="486"/>
      <c r="G505" s="486"/>
      <c r="H505" s="486"/>
      <c r="I505" s="486"/>
    </row>
    <row r="506" spans="1:9" ht="20.25" customHeight="1">
      <c r="A506" s="486" t="s">
        <v>532</v>
      </c>
      <c r="B506" s="486"/>
      <c r="C506" s="486"/>
      <c r="D506" s="486"/>
      <c r="E506" s="486"/>
      <c r="F506" s="486"/>
      <c r="G506" s="486"/>
      <c r="H506" s="486"/>
      <c r="I506" s="486"/>
    </row>
    <row r="507" spans="1:9" ht="20.25" customHeight="1">
      <c r="A507" s="486" t="s">
        <v>530</v>
      </c>
      <c r="B507" s="486"/>
      <c r="C507" s="486"/>
      <c r="D507" s="486"/>
      <c r="E507" s="486"/>
      <c r="F507" s="486"/>
      <c r="G507" s="486"/>
      <c r="H507" s="486"/>
      <c r="I507" s="486"/>
    </row>
    <row r="508" spans="1:9" ht="20.25" customHeight="1">
      <c r="A508" s="39"/>
      <c r="B508" s="39"/>
      <c r="C508" s="39"/>
      <c r="D508" s="39"/>
      <c r="E508" s="39"/>
      <c r="F508" s="39"/>
      <c r="G508" s="39"/>
      <c r="H508" s="39"/>
      <c r="I508" s="138"/>
    </row>
    <row r="509" spans="1:9" ht="20.25" customHeight="1">
      <c r="A509" s="40"/>
      <c r="B509" s="40"/>
      <c r="C509" s="40"/>
      <c r="D509" s="487" t="s">
        <v>682</v>
      </c>
      <c r="E509" s="487"/>
      <c r="F509" s="487"/>
      <c r="G509" s="40"/>
      <c r="H509" s="40"/>
      <c r="I509" s="135"/>
    </row>
    <row r="510" spans="1:9" ht="20.25" customHeight="1">
      <c r="A510" s="40"/>
      <c r="B510" s="40"/>
      <c r="C510" s="40"/>
      <c r="D510" s="40"/>
      <c r="E510" s="40"/>
      <c r="F510" s="40"/>
      <c r="G510" s="40"/>
      <c r="H510" s="40"/>
      <c r="I510" s="135"/>
    </row>
    <row r="511" spans="1:9" ht="20.25" customHeight="1">
      <c r="A511" s="489" t="s">
        <v>710</v>
      </c>
      <c r="B511" s="491" t="s">
        <v>711</v>
      </c>
      <c r="C511" s="492"/>
      <c r="D511" s="5" t="s">
        <v>686</v>
      </c>
      <c r="E511" s="5" t="s">
        <v>712</v>
      </c>
      <c r="F511" s="5" t="s">
        <v>686</v>
      </c>
      <c r="G511" s="510" t="s">
        <v>713</v>
      </c>
      <c r="H511" s="511"/>
      <c r="I511" s="6" t="s">
        <v>714</v>
      </c>
    </row>
    <row r="512" spans="1:9" ht="20.25" customHeight="1">
      <c r="A512" s="490"/>
      <c r="B512" s="493"/>
      <c r="C512" s="494"/>
      <c r="D512" s="7" t="s">
        <v>656</v>
      </c>
      <c r="E512" s="7" t="s">
        <v>715</v>
      </c>
      <c r="F512" s="7" t="s">
        <v>657</v>
      </c>
      <c r="G512" s="8" t="s">
        <v>706</v>
      </c>
      <c r="H512" s="9" t="s">
        <v>707</v>
      </c>
      <c r="I512" s="10" t="s">
        <v>717</v>
      </c>
    </row>
    <row r="513" spans="1:9" ht="20.25" customHeight="1">
      <c r="A513" s="11">
        <v>1</v>
      </c>
      <c r="B513" s="535">
        <v>2</v>
      </c>
      <c r="C513" s="536"/>
      <c r="D513" s="12">
        <v>3</v>
      </c>
      <c r="E513" s="12">
        <v>4</v>
      </c>
      <c r="F513" s="12">
        <v>5</v>
      </c>
      <c r="G513" s="12">
        <v>6</v>
      </c>
      <c r="H513" s="12">
        <v>7</v>
      </c>
      <c r="I513" s="13">
        <v>8</v>
      </c>
    </row>
    <row r="514" spans="1:9" ht="20.25" customHeight="1">
      <c r="A514" s="4">
        <v>10</v>
      </c>
      <c r="B514" s="504" t="s">
        <v>718</v>
      </c>
      <c r="C514" s="505"/>
      <c r="D514" s="398">
        <f>32714.43+125862.94+27324.49+17801.58+37924.69+26276.02+6210.07+9068.51+2000.18+1053.2+8095.19+3472.77+5056.86+500+109970.36+6737.64+31616.69+20263.3+7993.15+1473.54+4224.6+5427.93+2129.1+3432.74+6576.48+2657.37+7580.55+6570.54+1467.85+2526.4+4147.42+1701.08+6119.29+2984.82+4829.38+3040.72+1336.18+3955.51+3266.58+1830.99+7257.45+9337.84+2824.32+6162.19+10509.88+17097.93+7727.16+1732.59+150+3963.12+3612.25+0.5</f>
        <v>627596.3699999998</v>
      </c>
      <c r="E514" s="25">
        <f>1798812+7149.78</f>
        <v>1805961.78</v>
      </c>
      <c r="F514" s="25">
        <v>1015428.05</v>
      </c>
      <c r="G514" s="15">
        <f aca="true" t="shared" si="23" ref="G514:G519">F514/D514</f>
        <v>1.6179635487694113</v>
      </c>
      <c r="H514" s="16">
        <f aca="true" t="shared" si="24" ref="H514:H519">F514/E514</f>
        <v>0.5622644184640497</v>
      </c>
      <c r="I514" s="16">
        <f>F514/F519</f>
        <v>0.6926404031102174</v>
      </c>
    </row>
    <row r="515" spans="1:9" ht="20.25" customHeight="1">
      <c r="A515" s="4">
        <v>21</v>
      </c>
      <c r="B515" s="504" t="s">
        <v>719</v>
      </c>
      <c r="C515" s="505"/>
      <c r="D515" s="398">
        <f>29760.26</f>
        <v>29760.26</v>
      </c>
      <c r="E515" s="25">
        <f>123708+64000</f>
        <v>187708</v>
      </c>
      <c r="F515" s="25">
        <v>115690.63</v>
      </c>
      <c r="G515" s="15">
        <f t="shared" si="23"/>
        <v>3.8874200023790118</v>
      </c>
      <c r="H515" s="16">
        <f t="shared" si="24"/>
        <v>0.6163329746201547</v>
      </c>
      <c r="I515" s="16">
        <f>F515/F519</f>
        <v>0.07891450762983651</v>
      </c>
    </row>
    <row r="516" spans="1:9" ht="20.25" customHeight="1">
      <c r="A516" s="4">
        <v>22</v>
      </c>
      <c r="B516" s="504" t="s">
        <v>720</v>
      </c>
      <c r="C516" s="505"/>
      <c r="D516" s="398">
        <f>21007.57+1950.28+897.5+33601.46+50573.58+8833</f>
        <v>116863.39</v>
      </c>
      <c r="E516" s="25">
        <v>0</v>
      </c>
      <c r="F516" s="25">
        <v>293677.49</v>
      </c>
      <c r="G516" s="15">
        <f t="shared" si="23"/>
        <v>2.5129982109880604</v>
      </c>
      <c r="H516" s="16" t="e">
        <f t="shared" si="24"/>
        <v>#DIV/0!</v>
      </c>
      <c r="I516" s="16">
        <f>F516/F519</f>
        <v>0.2003223124060802</v>
      </c>
    </row>
    <row r="517" spans="1:9" ht="20.25" customHeight="1">
      <c r="A517" s="4">
        <v>31</v>
      </c>
      <c r="B517" s="504" t="s">
        <v>66</v>
      </c>
      <c r="C517" s="505"/>
      <c r="D517" s="398">
        <v>3000</v>
      </c>
      <c r="E517" s="25">
        <v>0</v>
      </c>
      <c r="F517" s="25">
        <v>0</v>
      </c>
      <c r="G517" s="15">
        <f t="shared" si="23"/>
        <v>0</v>
      </c>
      <c r="H517" s="16" t="e">
        <f t="shared" si="24"/>
        <v>#DIV/0!</v>
      </c>
      <c r="I517" s="16">
        <f>F517/F519</f>
        <v>0</v>
      </c>
    </row>
    <row r="518" spans="1:9" ht="20.25" customHeight="1">
      <c r="A518" s="4"/>
      <c r="B518" s="504" t="s">
        <v>548</v>
      </c>
      <c r="C518" s="505"/>
      <c r="D518" s="398">
        <f>7319.92+2350.54+1000+2960.3</f>
        <v>13630.759999999998</v>
      </c>
      <c r="E518" s="25">
        <v>0</v>
      </c>
      <c r="F518" s="25">
        <v>41228.69</v>
      </c>
      <c r="G518" s="15">
        <f t="shared" si="23"/>
        <v>3.0246802085870494</v>
      </c>
      <c r="H518" s="16" t="e">
        <f t="shared" si="24"/>
        <v>#DIV/0!</v>
      </c>
      <c r="I518" s="16">
        <f>F518/F519</f>
        <v>0.028122776853865904</v>
      </c>
    </row>
    <row r="519" spans="1:9" ht="36" customHeight="1">
      <c r="A519" s="210"/>
      <c r="B519" s="548" t="s">
        <v>69</v>
      </c>
      <c r="C519" s="549"/>
      <c r="D519" s="211">
        <f>SUM(D514:D518)</f>
        <v>790850.7799999998</v>
      </c>
      <c r="E519" s="36">
        <f>SUM(E514:E518)</f>
        <v>1993669.78</v>
      </c>
      <c r="F519" s="36">
        <f>SUM(F514:F518)</f>
        <v>1466024.86</v>
      </c>
      <c r="G519" s="265">
        <f t="shared" si="23"/>
        <v>1.8537313195796563</v>
      </c>
      <c r="H519" s="266">
        <f t="shared" si="24"/>
        <v>0.735339861549188</v>
      </c>
      <c r="I519" s="266">
        <f>SUM(I514:I518)</f>
        <v>1</v>
      </c>
    </row>
    <row r="520" spans="1:9" ht="20.25" customHeight="1">
      <c r="A520" s="40"/>
      <c r="B520" s="40"/>
      <c r="C520" s="40"/>
      <c r="D520" s="40"/>
      <c r="E520" s="40"/>
      <c r="F520" s="40"/>
      <c r="G520" s="40"/>
      <c r="H520" s="40"/>
      <c r="I520" s="135"/>
    </row>
    <row r="521" spans="1:9" ht="20.25" customHeight="1">
      <c r="A521" s="582" t="s">
        <v>639</v>
      </c>
      <c r="B521" s="582"/>
      <c r="C521" s="582"/>
      <c r="D521" s="582"/>
      <c r="E521" s="582"/>
      <c r="F521" s="582"/>
      <c r="G521" s="582"/>
      <c r="H521" s="582"/>
      <c r="I521" s="582"/>
    </row>
    <row r="522" spans="1:9" ht="20.25" customHeight="1">
      <c r="A522" s="582" t="s">
        <v>365</v>
      </c>
      <c r="B522" s="582"/>
      <c r="C522" s="582"/>
      <c r="D522" s="582"/>
      <c r="E522" s="582"/>
      <c r="F522" s="582"/>
      <c r="G522" s="582"/>
      <c r="H522" s="582"/>
      <c r="I522" s="582"/>
    </row>
    <row r="523" spans="1:9" ht="20.25" customHeight="1">
      <c r="A523" s="486" t="s">
        <v>366</v>
      </c>
      <c r="B523" s="486"/>
      <c r="C523" s="486"/>
      <c r="D523" s="486"/>
      <c r="E523" s="486"/>
      <c r="F523" s="486"/>
      <c r="G523" s="486"/>
      <c r="H523" s="486"/>
      <c r="I523" s="486"/>
    </row>
    <row r="524" spans="1:9" ht="18.75" customHeight="1">
      <c r="A524" s="486" t="s">
        <v>636</v>
      </c>
      <c r="B524" s="486"/>
      <c r="C524" s="486"/>
      <c r="D524" s="486"/>
      <c r="E524" s="486"/>
      <c r="F524" s="486"/>
      <c r="G524" s="486"/>
      <c r="H524" s="486"/>
      <c r="I524" s="486"/>
    </row>
    <row r="525" spans="1:9" ht="18.75" customHeight="1">
      <c r="A525" s="486" t="s">
        <v>948</v>
      </c>
      <c r="B525" s="486"/>
      <c r="C525" s="486"/>
      <c r="D525" s="486"/>
      <c r="E525" s="486"/>
      <c r="F525" s="486"/>
      <c r="G525" s="486"/>
      <c r="H525" s="486"/>
      <c r="I525" s="486"/>
    </row>
    <row r="526" spans="1:9" ht="18.75" customHeight="1">
      <c r="A526" s="486" t="s">
        <v>637</v>
      </c>
      <c r="B526" s="486"/>
      <c r="C526" s="486"/>
      <c r="D526" s="486"/>
      <c r="E526" s="486"/>
      <c r="F526" s="486"/>
      <c r="G526" s="486"/>
      <c r="H526" s="486"/>
      <c r="I526" s="486"/>
    </row>
    <row r="527" spans="1:9" ht="18.75" customHeight="1">
      <c r="A527" s="486" t="s">
        <v>863</v>
      </c>
      <c r="B527" s="486"/>
      <c r="C527" s="486"/>
      <c r="D527" s="486"/>
      <c r="E527" s="486"/>
      <c r="F527" s="486"/>
      <c r="G527" s="486"/>
      <c r="H527" s="486"/>
      <c r="I527" s="486"/>
    </row>
    <row r="528" spans="1:9" ht="18.75" customHeight="1">
      <c r="A528" s="635" t="s">
        <v>638</v>
      </c>
      <c r="B528" s="635"/>
      <c r="C528" s="635"/>
      <c r="D528" s="635"/>
      <c r="E528" s="635"/>
      <c r="F528" s="635"/>
      <c r="G528" s="635"/>
      <c r="H528" s="635"/>
      <c r="I528" s="635"/>
    </row>
    <row r="529" spans="1:9" ht="18.75" customHeight="1">
      <c r="A529" s="40"/>
      <c r="B529" s="40"/>
      <c r="C529" s="40"/>
      <c r="D529" s="40"/>
      <c r="E529" s="40"/>
      <c r="F529" s="40"/>
      <c r="G529" s="40"/>
      <c r="H529" s="40"/>
      <c r="I529" s="135"/>
    </row>
    <row r="530" spans="1:9" ht="18.75" customHeight="1">
      <c r="A530" s="40"/>
      <c r="B530" s="40"/>
      <c r="C530" s="40"/>
      <c r="D530" s="488" t="s">
        <v>682</v>
      </c>
      <c r="E530" s="488"/>
      <c r="F530" s="488"/>
      <c r="G530" s="40"/>
      <c r="H530" s="40"/>
      <c r="I530" s="135"/>
    </row>
    <row r="531" spans="1:9" ht="18.75" customHeight="1">
      <c r="A531" s="40"/>
      <c r="B531" s="40"/>
      <c r="C531" s="40"/>
      <c r="D531" s="40"/>
      <c r="E531" s="40"/>
      <c r="F531" s="40"/>
      <c r="G531" s="40"/>
      <c r="H531" s="40"/>
      <c r="I531" s="135"/>
    </row>
    <row r="532" spans="1:9" ht="18.75" customHeight="1">
      <c r="A532" s="22" t="s">
        <v>683</v>
      </c>
      <c r="B532" s="491" t="s">
        <v>688</v>
      </c>
      <c r="C532" s="492"/>
      <c r="D532" s="5" t="s">
        <v>686</v>
      </c>
      <c r="E532" s="5" t="s">
        <v>712</v>
      </c>
      <c r="F532" s="5" t="s">
        <v>686</v>
      </c>
      <c r="G532" s="510" t="s">
        <v>713</v>
      </c>
      <c r="H532" s="511"/>
      <c r="I532" s="6" t="s">
        <v>714</v>
      </c>
    </row>
    <row r="533" spans="1:9" ht="18.75" customHeight="1">
      <c r="A533" s="23" t="s">
        <v>97</v>
      </c>
      <c r="B533" s="493"/>
      <c r="C533" s="494"/>
      <c r="D533" s="7" t="s">
        <v>656</v>
      </c>
      <c r="E533" s="7" t="s">
        <v>715</v>
      </c>
      <c r="F533" s="7" t="s">
        <v>657</v>
      </c>
      <c r="G533" s="8" t="s">
        <v>706</v>
      </c>
      <c r="H533" s="9" t="s">
        <v>707</v>
      </c>
      <c r="I533" s="10" t="s">
        <v>717</v>
      </c>
    </row>
    <row r="534" spans="1:9" ht="18.75" customHeight="1">
      <c r="A534" s="220">
        <v>1</v>
      </c>
      <c r="B534" s="623">
        <v>2</v>
      </c>
      <c r="C534" s="624"/>
      <c r="D534" s="221">
        <v>3</v>
      </c>
      <c r="E534" s="221">
        <v>4</v>
      </c>
      <c r="F534" s="221">
        <v>5</v>
      </c>
      <c r="G534" s="221">
        <v>6</v>
      </c>
      <c r="H534" s="221">
        <v>7</v>
      </c>
      <c r="I534" s="220">
        <v>8</v>
      </c>
    </row>
    <row r="535" spans="1:9" ht="24.75" customHeight="1">
      <c r="A535" s="63">
        <v>1310</v>
      </c>
      <c r="B535" s="530" t="s">
        <v>555</v>
      </c>
      <c r="C535" s="531"/>
      <c r="D535" s="18">
        <f>D536+D537+D538+D539+D540+D541+D542+D543</f>
        <v>9614.510000000002</v>
      </c>
      <c r="E535" s="18">
        <f>E536+E537+E538+E539+E540+E541+E542+E543</f>
        <v>41700</v>
      </c>
      <c r="F535" s="18">
        <f>F536+F537+F538+F539+F540+F541+F542+F543</f>
        <v>15611.98</v>
      </c>
      <c r="G535" s="37">
        <f>F535/D535</f>
        <v>1.6237936202676992</v>
      </c>
      <c r="H535" s="38">
        <f>F535/E535</f>
        <v>0.37438800959232615</v>
      </c>
      <c r="I535" s="21">
        <f>F535/F617</f>
        <v>0.010649191856132641</v>
      </c>
    </row>
    <row r="536" spans="1:9" ht="18.75" customHeight="1">
      <c r="A536" s="24">
        <v>13130</v>
      </c>
      <c r="B536" s="483" t="s">
        <v>1132</v>
      </c>
      <c r="C536" s="484"/>
      <c r="D536" s="400">
        <v>233.3</v>
      </c>
      <c r="E536" s="64">
        <v>3700</v>
      </c>
      <c r="F536" s="64">
        <v>3674.4</v>
      </c>
      <c r="G536" s="15">
        <f>F536/D536</f>
        <v>15.749678525503644</v>
      </c>
      <c r="H536" s="16">
        <f>F536/E536</f>
        <v>0.9930810810810811</v>
      </c>
      <c r="I536" s="16">
        <f>F536/F535</f>
        <v>0.23535771887998833</v>
      </c>
    </row>
    <row r="537" spans="1:9" ht="18.75" customHeight="1">
      <c r="A537" s="24">
        <v>13131</v>
      </c>
      <c r="B537" s="483" t="s">
        <v>556</v>
      </c>
      <c r="C537" s="484"/>
      <c r="D537" s="400">
        <v>0</v>
      </c>
      <c r="E537" s="64">
        <v>0</v>
      </c>
      <c r="F537" s="64">
        <v>0</v>
      </c>
      <c r="G537" s="15" t="e">
        <f aca="true" t="shared" si="25" ref="G537:G571">F537/D537</f>
        <v>#DIV/0!</v>
      </c>
      <c r="H537" s="16" t="e">
        <f aca="true" t="shared" si="26" ref="H537:H571">F537/E537</f>
        <v>#DIV/0!</v>
      </c>
      <c r="I537" s="16">
        <f>F537/F535</f>
        <v>0</v>
      </c>
    </row>
    <row r="538" spans="1:9" ht="18.75" customHeight="1">
      <c r="A538" s="24">
        <v>13132</v>
      </c>
      <c r="B538" s="483" t="s">
        <v>1134</v>
      </c>
      <c r="C538" s="484"/>
      <c r="D538" s="400">
        <v>421.5</v>
      </c>
      <c r="E538" s="64">
        <v>0</v>
      </c>
      <c r="F538" s="64">
        <v>0</v>
      </c>
      <c r="G538" s="15">
        <f t="shared" si="25"/>
        <v>0</v>
      </c>
      <c r="H538" s="16" t="e">
        <f t="shared" si="26"/>
        <v>#DIV/0!</v>
      </c>
      <c r="I538" s="16">
        <f>F538/F535</f>
        <v>0</v>
      </c>
    </row>
    <row r="539" spans="1:9" ht="18.75" customHeight="1">
      <c r="A539" s="24">
        <v>13133</v>
      </c>
      <c r="B539" s="483" t="s">
        <v>1133</v>
      </c>
      <c r="C539" s="484"/>
      <c r="D539" s="400">
        <v>9.85</v>
      </c>
      <c r="E539" s="64">
        <v>0</v>
      </c>
      <c r="F539" s="64">
        <v>7.6</v>
      </c>
      <c r="G539" s="15">
        <f t="shared" si="25"/>
        <v>0.7715736040609137</v>
      </c>
      <c r="H539" s="16" t="e">
        <f t="shared" si="26"/>
        <v>#DIV/0!</v>
      </c>
      <c r="I539" s="16">
        <f>F539/F535</f>
        <v>0.00048680564540820576</v>
      </c>
    </row>
    <row r="540" spans="1:9" ht="18.75" customHeight="1">
      <c r="A540" s="24">
        <v>13140</v>
      </c>
      <c r="B540" s="483" t="s">
        <v>1135</v>
      </c>
      <c r="C540" s="484"/>
      <c r="D540" s="400">
        <v>1177.4</v>
      </c>
      <c r="E540" s="64">
        <v>38000</v>
      </c>
      <c r="F540" s="64">
        <v>3495.62</v>
      </c>
      <c r="G540" s="15">
        <f t="shared" si="25"/>
        <v>2.9689315440801765</v>
      </c>
      <c r="H540" s="16">
        <f t="shared" si="26"/>
        <v>0.09199</v>
      </c>
      <c r="I540" s="16">
        <f>F540/F535</f>
        <v>0.22390625660550423</v>
      </c>
    </row>
    <row r="541" spans="1:9" ht="18.75" customHeight="1">
      <c r="A541" s="24">
        <v>13141</v>
      </c>
      <c r="B541" s="483" t="s">
        <v>557</v>
      </c>
      <c r="C541" s="484"/>
      <c r="D541" s="400">
        <v>2430.4</v>
      </c>
      <c r="E541" s="64">
        <v>0</v>
      </c>
      <c r="F541" s="64">
        <v>5438</v>
      </c>
      <c r="G541" s="15">
        <f t="shared" si="25"/>
        <v>2.237491770901909</v>
      </c>
      <c r="H541" s="16" t="e">
        <f t="shared" si="26"/>
        <v>#DIV/0!</v>
      </c>
      <c r="I541" s="16">
        <f>F541/F535</f>
        <v>0.3483222499644504</v>
      </c>
    </row>
    <row r="542" spans="1:9" ht="18.75" customHeight="1">
      <c r="A542" s="24">
        <v>13142</v>
      </c>
      <c r="B542" s="483" t="s">
        <v>1136</v>
      </c>
      <c r="C542" s="484"/>
      <c r="D542" s="400">
        <v>4749.56</v>
      </c>
      <c r="E542" s="64">
        <v>0</v>
      </c>
      <c r="F542" s="64">
        <v>2877</v>
      </c>
      <c r="G542" s="15">
        <f t="shared" si="25"/>
        <v>0.6057403212087014</v>
      </c>
      <c r="H542" s="16" t="e">
        <f t="shared" si="26"/>
        <v>#DIV/0!</v>
      </c>
      <c r="I542" s="16">
        <f>F542/F535</f>
        <v>0.1842815581367642</v>
      </c>
    </row>
    <row r="543" spans="1:9" ht="18.75" customHeight="1">
      <c r="A543" s="24">
        <v>13143</v>
      </c>
      <c r="B543" s="483" t="s">
        <v>1137</v>
      </c>
      <c r="C543" s="484"/>
      <c r="D543" s="400">
        <v>592.5</v>
      </c>
      <c r="E543" s="64">
        <v>0</v>
      </c>
      <c r="F543" s="64">
        <v>119.36</v>
      </c>
      <c r="G543" s="15">
        <f t="shared" si="25"/>
        <v>0.20145147679324896</v>
      </c>
      <c r="H543" s="16" t="e">
        <f t="shared" si="26"/>
        <v>#DIV/0!</v>
      </c>
      <c r="I543" s="16">
        <f>F543/F535</f>
        <v>0.007645410767884663</v>
      </c>
    </row>
    <row r="544" spans="1:9" ht="24.75" customHeight="1">
      <c r="A544" s="35">
        <v>1330</v>
      </c>
      <c r="B544" s="530" t="s">
        <v>558</v>
      </c>
      <c r="C544" s="531"/>
      <c r="D544" s="66">
        <f>D545+D546+D547</f>
        <v>12004</v>
      </c>
      <c r="E544" s="66">
        <f>E545+E546+E547</f>
        <v>22410</v>
      </c>
      <c r="F544" s="66">
        <f>F545+F546+F547</f>
        <v>30510.240000000005</v>
      </c>
      <c r="G544" s="20">
        <f t="shared" si="25"/>
        <v>2.54167277574142</v>
      </c>
      <c r="H544" s="21">
        <f t="shared" si="26"/>
        <v>1.3614564926372157</v>
      </c>
      <c r="I544" s="21">
        <f>F544/F617</f>
        <v>0.020811543400430465</v>
      </c>
    </row>
    <row r="545" spans="1:9" ht="18.75" customHeight="1">
      <c r="A545" s="24">
        <v>13310</v>
      </c>
      <c r="B545" s="483" t="s">
        <v>559</v>
      </c>
      <c r="C545" s="484"/>
      <c r="D545" s="400">
        <v>115</v>
      </c>
      <c r="E545" s="64">
        <f>2900+1000</f>
        <v>3900</v>
      </c>
      <c r="F545" s="64">
        <v>1042.54</v>
      </c>
      <c r="G545" s="15">
        <f t="shared" si="25"/>
        <v>9.065565217391304</v>
      </c>
      <c r="H545" s="16">
        <f t="shared" si="26"/>
        <v>0.26731794871794873</v>
      </c>
      <c r="I545" s="16">
        <f>F545/F544</f>
        <v>0.03417016713077314</v>
      </c>
    </row>
    <row r="546" spans="1:9" ht="18.75" customHeight="1">
      <c r="A546" s="24">
        <v>13320</v>
      </c>
      <c r="B546" s="483" t="s">
        <v>560</v>
      </c>
      <c r="C546" s="484"/>
      <c r="D546" s="400">
        <v>11461.35</v>
      </c>
      <c r="E546" s="64">
        <v>18110</v>
      </c>
      <c r="F546" s="64">
        <v>19814.33</v>
      </c>
      <c r="G546" s="15">
        <f t="shared" si="25"/>
        <v>1.7287954734826179</v>
      </c>
      <c r="H546" s="16">
        <f t="shared" si="26"/>
        <v>1.0941098840419659</v>
      </c>
      <c r="I546" s="16">
        <f>F546/F544</f>
        <v>0.6494321250832507</v>
      </c>
    </row>
    <row r="547" spans="1:9" ht="18.75" customHeight="1">
      <c r="A547" s="24">
        <v>13330</v>
      </c>
      <c r="B547" s="483" t="s">
        <v>561</v>
      </c>
      <c r="C547" s="484"/>
      <c r="D547" s="400">
        <v>427.65</v>
      </c>
      <c r="E547" s="64">
        <v>400</v>
      </c>
      <c r="F547" s="64">
        <v>9653.37</v>
      </c>
      <c r="G547" s="15">
        <f t="shared" si="25"/>
        <v>22.573062083479485</v>
      </c>
      <c r="H547" s="16">
        <f t="shared" si="26"/>
        <v>24.133425000000003</v>
      </c>
      <c r="I547" s="16">
        <f>F547/F544</f>
        <v>0.3163977077859761</v>
      </c>
    </row>
    <row r="548" spans="1:9" ht="24.75" customHeight="1">
      <c r="A548" s="35">
        <v>1340</v>
      </c>
      <c r="B548" s="530" t="s">
        <v>562</v>
      </c>
      <c r="C548" s="531"/>
      <c r="D548" s="18">
        <f>D549+D551+D552+D553+D554+D555</f>
        <v>198784.96</v>
      </c>
      <c r="E548" s="18">
        <f>E549+E550+E551+E552+E553+E554+E555</f>
        <v>847381.78</v>
      </c>
      <c r="F548" s="18">
        <f>F549+F551+F552+F553+F554+F555</f>
        <v>453507.01999999996</v>
      </c>
      <c r="G548" s="20">
        <f t="shared" si="25"/>
        <v>2.2813950310928957</v>
      </c>
      <c r="H548" s="21">
        <f t="shared" si="26"/>
        <v>0.5351861825492636</v>
      </c>
      <c r="I548" s="21">
        <f>F548/F617</f>
        <v>0.30934469965263744</v>
      </c>
    </row>
    <row r="549" spans="1:9" ht="18.75" customHeight="1">
      <c r="A549" s="24">
        <v>13410</v>
      </c>
      <c r="B549" s="483" t="s">
        <v>563</v>
      </c>
      <c r="C549" s="484"/>
      <c r="D549" s="64">
        <v>0</v>
      </c>
      <c r="E549" s="64">
        <v>11500</v>
      </c>
      <c r="F549" s="64">
        <v>1680</v>
      </c>
      <c r="G549" s="15" t="e">
        <f t="shared" si="25"/>
        <v>#DIV/0!</v>
      </c>
      <c r="H549" s="16">
        <f t="shared" si="26"/>
        <v>0.14608695652173914</v>
      </c>
      <c r="I549" s="16">
        <f>F549/F548</f>
        <v>0.003704463053295184</v>
      </c>
    </row>
    <row r="550" spans="1:9" ht="18.75" customHeight="1">
      <c r="A550" s="24">
        <v>13430</v>
      </c>
      <c r="B550" s="504" t="s">
        <v>564</v>
      </c>
      <c r="C550" s="505"/>
      <c r="D550" s="64">
        <v>0</v>
      </c>
      <c r="E550" s="64">
        <v>3000</v>
      </c>
      <c r="F550" s="64">
        <v>0</v>
      </c>
      <c r="G550" s="15" t="e">
        <f t="shared" si="25"/>
        <v>#DIV/0!</v>
      </c>
      <c r="H550" s="16">
        <f t="shared" si="26"/>
        <v>0</v>
      </c>
      <c r="I550" s="16">
        <f>F550/F548</f>
        <v>0</v>
      </c>
    </row>
    <row r="551" spans="1:9" ht="18.75" customHeight="1">
      <c r="A551" s="24">
        <v>13440</v>
      </c>
      <c r="B551" s="504" t="s">
        <v>206</v>
      </c>
      <c r="C551" s="505"/>
      <c r="D551" s="64">
        <v>0</v>
      </c>
      <c r="E551" s="64">
        <v>3000</v>
      </c>
      <c r="F551" s="64">
        <v>5978.7</v>
      </c>
      <c r="G551" s="15" t="e">
        <f t="shared" si="25"/>
        <v>#DIV/0!</v>
      </c>
      <c r="H551" s="16">
        <f t="shared" si="26"/>
        <v>1.9929</v>
      </c>
      <c r="I551" s="16">
        <f>F551/F548</f>
        <v>0.013183257890914237</v>
      </c>
    </row>
    <row r="552" spans="1:9" ht="18.75" customHeight="1">
      <c r="A552" s="24">
        <v>13450</v>
      </c>
      <c r="B552" s="504" t="s">
        <v>565</v>
      </c>
      <c r="C552" s="505"/>
      <c r="D552" s="64">
        <v>138.4</v>
      </c>
      <c r="E552" s="64">
        <v>5000</v>
      </c>
      <c r="F552" s="64">
        <v>4022.58</v>
      </c>
      <c r="G552" s="15">
        <f t="shared" si="25"/>
        <v>29.064884393063583</v>
      </c>
      <c r="H552" s="16">
        <f t="shared" si="26"/>
        <v>0.804516</v>
      </c>
      <c r="I552" s="16">
        <f>F552/F548</f>
        <v>0.008869939874359608</v>
      </c>
    </row>
    <row r="553" spans="1:9" ht="18.75" customHeight="1">
      <c r="A553" s="24">
        <v>13460</v>
      </c>
      <c r="B553" s="504" t="s">
        <v>566</v>
      </c>
      <c r="C553" s="505"/>
      <c r="D553" s="64">
        <v>194609.43</v>
      </c>
      <c r="E553" s="64">
        <f>712050+38682+71149.78</f>
        <v>821881.78</v>
      </c>
      <c r="F553" s="64">
        <v>434941.81</v>
      </c>
      <c r="G553" s="15">
        <f t="shared" si="25"/>
        <v>2.2349472479314083</v>
      </c>
      <c r="H553" s="16">
        <f t="shared" si="26"/>
        <v>0.5292023994010427</v>
      </c>
      <c r="I553" s="16">
        <f>F553/F548</f>
        <v>0.9590630151656749</v>
      </c>
    </row>
    <row r="554" spans="1:9" ht="18.75" customHeight="1">
      <c r="A554" s="24">
        <v>13470</v>
      </c>
      <c r="B554" s="504" t="s">
        <v>567</v>
      </c>
      <c r="C554" s="505"/>
      <c r="D554" s="64">
        <v>0</v>
      </c>
      <c r="E554" s="64">
        <v>3000</v>
      </c>
      <c r="F554" s="64">
        <v>2846.79</v>
      </c>
      <c r="G554" s="15" t="e">
        <f t="shared" si="25"/>
        <v>#DIV/0!</v>
      </c>
      <c r="H554" s="16">
        <f t="shared" si="26"/>
        <v>0.9489299999999999</v>
      </c>
      <c r="I554" s="16">
        <f>F554/F548</f>
        <v>0.006277278794934641</v>
      </c>
    </row>
    <row r="555" spans="1:9" ht="18.75" customHeight="1">
      <c r="A555" s="24">
        <v>13480</v>
      </c>
      <c r="B555" s="504" t="s">
        <v>568</v>
      </c>
      <c r="C555" s="505"/>
      <c r="D555" s="64">
        <v>4037.13</v>
      </c>
      <c r="E555" s="64">
        <v>0</v>
      </c>
      <c r="F555" s="64">
        <v>4037.14</v>
      </c>
      <c r="G555" s="15">
        <f t="shared" si="25"/>
        <v>1.0000024770071807</v>
      </c>
      <c r="H555" s="16" t="e">
        <f t="shared" si="26"/>
        <v>#DIV/0!</v>
      </c>
      <c r="I555" s="16">
        <f>F555/F548</f>
        <v>0.008902045220821499</v>
      </c>
    </row>
    <row r="556" ht="24.75" customHeight="1"/>
    <row r="557" ht="18.75" customHeight="1"/>
    <row r="558" ht="18.75" customHeight="1"/>
    <row r="559" ht="18.75" customHeight="1">
      <c r="I559" s="444">
        <v>7</v>
      </c>
    </row>
    <row r="560" ht="18.75" customHeight="1">
      <c r="I560" s="444"/>
    </row>
    <row r="561" ht="18.75" customHeight="1">
      <c r="I561" s="82"/>
    </row>
    <row r="562" spans="1:8" ht="18.75" customHeight="1">
      <c r="A562" s="303"/>
      <c r="B562" s="303"/>
      <c r="C562" s="303"/>
      <c r="D562" s="303"/>
      <c r="E562" s="303"/>
      <c r="F562" s="303"/>
      <c r="G562" s="303"/>
      <c r="H562" s="303"/>
    </row>
    <row r="563" spans="1:9" ht="24.75" customHeight="1">
      <c r="A563" s="35">
        <v>1350</v>
      </c>
      <c r="B563" s="530" t="s">
        <v>1139</v>
      </c>
      <c r="C563" s="531"/>
      <c r="D563" s="18">
        <f>D564+D565+D566+D567+D568+D569+D570+D571</f>
        <v>38479.14</v>
      </c>
      <c r="E563" s="18">
        <f>E564+E565+E566+E567+E568+E569+E570+E571</f>
        <v>42000</v>
      </c>
      <c r="F563" s="18">
        <f>F564+F565+F566+F567+F568+F569+F570+F571</f>
        <v>117775.55</v>
      </c>
      <c r="G563" s="20">
        <f>F563/D563</f>
        <v>3.0607635721588373</v>
      </c>
      <c r="H563" s="70">
        <f>F563/E563</f>
        <v>2.804179761904762</v>
      </c>
      <c r="I563" s="21">
        <f>F563/F617</f>
        <v>0.08033666632365291</v>
      </c>
    </row>
    <row r="564" spans="1:9" ht="18.75" customHeight="1">
      <c r="A564" s="24">
        <v>13501</v>
      </c>
      <c r="B564" s="483" t="s">
        <v>569</v>
      </c>
      <c r="C564" s="484"/>
      <c r="D564" s="400">
        <v>23525.99</v>
      </c>
      <c r="E564" s="64">
        <f>12000+1000</f>
        <v>13000</v>
      </c>
      <c r="F564" s="64">
        <v>76035.7</v>
      </c>
      <c r="G564" s="15">
        <f>F564/D564</f>
        <v>3.2319872617475394</v>
      </c>
      <c r="H564" s="16">
        <f>F564/E564</f>
        <v>5.8488999999999995</v>
      </c>
      <c r="I564" s="16">
        <f>F564/F563</f>
        <v>0.6455983436290469</v>
      </c>
    </row>
    <row r="565" spans="1:9" ht="18.75" customHeight="1">
      <c r="A565" s="24">
        <v>13502</v>
      </c>
      <c r="B565" s="483" t="s">
        <v>570</v>
      </c>
      <c r="C565" s="484"/>
      <c r="D565" s="400">
        <v>0</v>
      </c>
      <c r="E565" s="64">
        <v>300</v>
      </c>
      <c r="F565" s="64">
        <v>13.8</v>
      </c>
      <c r="G565" s="15" t="e">
        <f>F565/D565</f>
        <v>#DIV/0!</v>
      </c>
      <c r="H565" s="16">
        <f>F565/E565</f>
        <v>0.046</v>
      </c>
      <c r="I565" s="16">
        <f>F565/F563</f>
        <v>0.0001171720276407115</v>
      </c>
    </row>
    <row r="566" spans="1:9" ht="18.75" customHeight="1">
      <c r="A566" s="24">
        <v>13503</v>
      </c>
      <c r="B566" s="483" t="s">
        <v>571</v>
      </c>
      <c r="C566" s="484"/>
      <c r="D566" s="400">
        <v>7984.15</v>
      </c>
      <c r="E566" s="64">
        <v>6800</v>
      </c>
      <c r="F566" s="64">
        <v>15561.02</v>
      </c>
      <c r="G566" s="15">
        <f>F566/D566</f>
        <v>1.9489889343261337</v>
      </c>
      <c r="H566" s="16">
        <f>F566/E566</f>
        <v>2.288385294117647</v>
      </c>
      <c r="I566" s="16">
        <f>F566/F563</f>
        <v>0.13212436706939598</v>
      </c>
    </row>
    <row r="567" spans="1:9" ht="18.75" customHeight="1">
      <c r="A567" s="24">
        <v>13504</v>
      </c>
      <c r="B567" s="483" t="s">
        <v>1141</v>
      </c>
      <c r="C567" s="484"/>
      <c r="D567" s="400">
        <v>0</v>
      </c>
      <c r="E567" s="64">
        <v>1000</v>
      </c>
      <c r="F567" s="64">
        <v>963.2</v>
      </c>
      <c r="G567" s="15" t="e">
        <f>F567/D567</f>
        <v>#DIV/0!</v>
      </c>
      <c r="H567" s="16">
        <f>F567/E567</f>
        <v>0.9632000000000001</v>
      </c>
      <c r="I567" s="16">
        <f>F567/F563</f>
        <v>0.008178267900256038</v>
      </c>
    </row>
    <row r="568" spans="1:9" ht="18.75" customHeight="1">
      <c r="A568" s="24">
        <v>13505</v>
      </c>
      <c r="B568" s="230" t="s">
        <v>572</v>
      </c>
      <c r="C568" s="262"/>
      <c r="D568" s="400">
        <v>0</v>
      </c>
      <c r="E568" s="64">
        <v>1800</v>
      </c>
      <c r="F568" s="64">
        <v>0</v>
      </c>
      <c r="G568" s="15" t="e">
        <f t="shared" si="25"/>
        <v>#DIV/0!</v>
      </c>
      <c r="H568" s="16">
        <f t="shared" si="26"/>
        <v>0</v>
      </c>
      <c r="I568" s="16">
        <f>F568/F563</f>
        <v>0</v>
      </c>
    </row>
    <row r="569" spans="1:9" ht="18.75" customHeight="1">
      <c r="A569" s="24">
        <v>13506</v>
      </c>
      <c r="B569" s="483" t="s">
        <v>573</v>
      </c>
      <c r="C569" s="484"/>
      <c r="D569" s="400">
        <v>0</v>
      </c>
      <c r="E569" s="64">
        <v>0</v>
      </c>
      <c r="F569" s="64">
        <v>0</v>
      </c>
      <c r="G569" s="15" t="e">
        <f t="shared" si="25"/>
        <v>#DIV/0!</v>
      </c>
      <c r="H569" s="16" t="e">
        <f t="shared" si="26"/>
        <v>#DIV/0!</v>
      </c>
      <c r="I569" s="16">
        <f>F569/F563</f>
        <v>0</v>
      </c>
    </row>
    <row r="570" spans="1:9" ht="18.75" customHeight="1">
      <c r="A570" s="24">
        <v>13508</v>
      </c>
      <c r="B570" s="483" t="s">
        <v>574</v>
      </c>
      <c r="C570" s="484"/>
      <c r="D570" s="400">
        <v>0</v>
      </c>
      <c r="E570" s="64">
        <v>0</v>
      </c>
      <c r="F570" s="64">
        <v>0</v>
      </c>
      <c r="G570" s="15" t="e">
        <f t="shared" si="25"/>
        <v>#DIV/0!</v>
      </c>
      <c r="H570" s="16" t="e">
        <f t="shared" si="26"/>
        <v>#DIV/0!</v>
      </c>
      <c r="I570" s="16">
        <f>F570/F563</f>
        <v>0</v>
      </c>
    </row>
    <row r="571" spans="1:9" ht="18.75" customHeight="1">
      <c r="A571" s="24">
        <v>13509</v>
      </c>
      <c r="B571" s="483" t="s">
        <v>575</v>
      </c>
      <c r="C571" s="484"/>
      <c r="D571" s="400">
        <v>6969</v>
      </c>
      <c r="E571" s="64">
        <f>18100+1000</f>
        <v>19100</v>
      </c>
      <c r="F571" s="64">
        <v>25201.83</v>
      </c>
      <c r="G571" s="15">
        <f t="shared" si="25"/>
        <v>3.616276366767112</v>
      </c>
      <c r="H571" s="16">
        <f t="shared" si="26"/>
        <v>1.3194675392670159</v>
      </c>
      <c r="I571" s="16">
        <f>F571/F563</f>
        <v>0.21398184937366033</v>
      </c>
    </row>
    <row r="572" spans="1:9" ht="24.75" customHeight="1">
      <c r="A572" s="35">
        <v>1360</v>
      </c>
      <c r="B572" s="530" t="s">
        <v>1140</v>
      </c>
      <c r="C572" s="531"/>
      <c r="D572" s="66">
        <f>D573+D574+D575+D576+D577+D578+D579</f>
        <v>111117.38</v>
      </c>
      <c r="E572" s="66">
        <f>E573+E574+E575+E576+E577+E578+E579</f>
        <v>221050</v>
      </c>
      <c r="F572" s="66">
        <f>F573+F574+F575+F576+F577+F578+F579</f>
        <v>167991.03</v>
      </c>
      <c r="G572" s="20">
        <f>F572/D572</f>
        <v>1.5118339723272811</v>
      </c>
      <c r="H572" s="21">
        <f>F572/E572</f>
        <v>0.7599684686722461</v>
      </c>
      <c r="I572" s="21">
        <f>F572/F617</f>
        <v>0.11458948247303252</v>
      </c>
    </row>
    <row r="573" spans="1:9" ht="18.75" customHeight="1">
      <c r="A573" s="24">
        <v>13610</v>
      </c>
      <c r="B573" s="483" t="s">
        <v>576</v>
      </c>
      <c r="C573" s="484"/>
      <c r="D573" s="400">
        <v>51742.08</v>
      </c>
      <c r="E573" s="64">
        <f>101640+2000</f>
        <v>103640</v>
      </c>
      <c r="F573" s="64">
        <v>68966.98</v>
      </c>
      <c r="G573" s="15">
        <f>F573/D573</f>
        <v>1.3328992572389822</v>
      </c>
      <c r="H573" s="16">
        <f>F573/E573</f>
        <v>0.6654475106136626</v>
      </c>
      <c r="I573" s="16">
        <f>F573/F572</f>
        <v>0.4105396579805481</v>
      </c>
    </row>
    <row r="574" spans="1:9" ht="18.75" customHeight="1">
      <c r="A574" s="24">
        <v>13620</v>
      </c>
      <c r="B574" s="483" t="s">
        <v>1142</v>
      </c>
      <c r="C574" s="484"/>
      <c r="D574" s="400">
        <v>24113.75</v>
      </c>
      <c r="E574" s="64">
        <f>45000+950</f>
        <v>45950</v>
      </c>
      <c r="F574" s="64">
        <v>49972.34</v>
      </c>
      <c r="G574" s="15">
        <f aca="true" t="shared" si="27" ref="G574:G617">F574/D574</f>
        <v>2.072358716499922</v>
      </c>
      <c r="H574" s="16">
        <f aca="true" t="shared" si="28" ref="H574:H617">F574/E574</f>
        <v>1.0875373231773666</v>
      </c>
      <c r="I574" s="16">
        <f>F574/F572</f>
        <v>0.29747028755047217</v>
      </c>
    </row>
    <row r="575" spans="1:9" ht="18.75" customHeight="1">
      <c r="A575" s="24">
        <v>13630</v>
      </c>
      <c r="B575" s="483" t="s">
        <v>577</v>
      </c>
      <c r="C575" s="484"/>
      <c r="D575" s="400">
        <v>12923.64</v>
      </c>
      <c r="E575" s="64">
        <v>30000</v>
      </c>
      <c r="F575" s="64">
        <v>32243.58</v>
      </c>
      <c r="G575" s="15">
        <f t="shared" si="27"/>
        <v>2.494930220897518</v>
      </c>
      <c r="H575" s="16">
        <f t="shared" si="28"/>
        <v>1.074786</v>
      </c>
      <c r="I575" s="16">
        <f>F575/F572</f>
        <v>0.19193631945705675</v>
      </c>
    </row>
    <row r="576" spans="1:9" ht="18.75" customHeight="1">
      <c r="A576" s="24">
        <v>13640</v>
      </c>
      <c r="B576" s="483" t="s">
        <v>578</v>
      </c>
      <c r="C576" s="484"/>
      <c r="D576" s="400">
        <v>16447.91</v>
      </c>
      <c r="E576" s="64">
        <v>23700</v>
      </c>
      <c r="F576" s="64">
        <v>5919.63</v>
      </c>
      <c r="G576" s="15">
        <f t="shared" si="27"/>
        <v>0.3599016531583648</v>
      </c>
      <c r="H576" s="16">
        <f t="shared" si="28"/>
        <v>0.24977341772151898</v>
      </c>
      <c r="I576" s="16">
        <f>F576/F572</f>
        <v>0.03523777430259223</v>
      </c>
    </row>
    <row r="577" spans="1:9" ht="18.75" customHeight="1">
      <c r="A577" s="24">
        <v>13650</v>
      </c>
      <c r="B577" s="483" t="s">
        <v>579</v>
      </c>
      <c r="C577" s="484"/>
      <c r="D577" s="400">
        <v>650</v>
      </c>
      <c r="E577" s="64">
        <v>17260</v>
      </c>
      <c r="F577" s="64">
        <v>784.5</v>
      </c>
      <c r="G577" s="15">
        <f t="shared" si="27"/>
        <v>1.206923076923077</v>
      </c>
      <c r="H577" s="16">
        <f t="shared" si="28"/>
        <v>0.045451911935110084</v>
      </c>
      <c r="I577" s="16">
        <f>F577/F572</f>
        <v>0.0046698921960297525</v>
      </c>
    </row>
    <row r="578" spans="1:9" ht="18.75" customHeight="1">
      <c r="A578" s="24">
        <v>13660</v>
      </c>
      <c r="B578" s="483" t="s">
        <v>580</v>
      </c>
      <c r="C578" s="484"/>
      <c r="D578" s="400">
        <v>5240</v>
      </c>
      <c r="E578" s="64">
        <v>0</v>
      </c>
      <c r="F578" s="64">
        <v>10104</v>
      </c>
      <c r="G578" s="15">
        <f t="shared" si="27"/>
        <v>1.9282442748091604</v>
      </c>
      <c r="H578" s="16" t="e">
        <f t="shared" si="28"/>
        <v>#DIV/0!</v>
      </c>
      <c r="I578" s="16">
        <f>F578/F572</f>
        <v>0.060146068513300975</v>
      </c>
    </row>
    <row r="579" spans="1:9" ht="18.75" customHeight="1">
      <c r="A579" s="24">
        <v>13681</v>
      </c>
      <c r="B579" s="483" t="s">
        <v>581</v>
      </c>
      <c r="C579" s="484"/>
      <c r="D579" s="400">
        <v>0</v>
      </c>
      <c r="E579" s="64">
        <v>500</v>
      </c>
      <c r="F579" s="64">
        <v>0</v>
      </c>
      <c r="G579" s="15" t="e">
        <f t="shared" si="27"/>
        <v>#DIV/0!</v>
      </c>
      <c r="H579" s="16">
        <f t="shared" si="28"/>
        <v>0</v>
      </c>
      <c r="I579" s="16">
        <f>F579/F572</f>
        <v>0</v>
      </c>
    </row>
    <row r="580" spans="1:9" ht="24.75" customHeight="1">
      <c r="A580" s="35">
        <v>1370</v>
      </c>
      <c r="B580" s="530" t="s">
        <v>582</v>
      </c>
      <c r="C580" s="531"/>
      <c r="D580" s="66">
        <f>D581+D582+D583+D584+D585+D586</f>
        <v>287127.14</v>
      </c>
      <c r="E580" s="66">
        <f>E581+E582+E583+E584+E585+E586</f>
        <v>427598</v>
      </c>
      <c r="F580" s="66">
        <f>F581+F582+F583+F584+F585+F586</f>
        <v>457594.77</v>
      </c>
      <c r="G580" s="20">
        <f t="shared" si="27"/>
        <v>1.5937008601834017</v>
      </c>
      <c r="H580" s="21">
        <f t="shared" si="28"/>
        <v>1.070151801458379</v>
      </c>
      <c r="I580" s="21">
        <f>F580/F617</f>
        <v>0.3121330220825859</v>
      </c>
    </row>
    <row r="581" spans="1:9" ht="18.75" customHeight="1">
      <c r="A581" s="24">
        <v>13710</v>
      </c>
      <c r="B581" s="483" t="s">
        <v>583</v>
      </c>
      <c r="C581" s="484"/>
      <c r="D581" s="400">
        <v>1687.36</v>
      </c>
      <c r="E581" s="64">
        <v>4750</v>
      </c>
      <c r="F581" s="64">
        <v>4566.24</v>
      </c>
      <c r="G581" s="401">
        <f t="shared" si="27"/>
        <v>2.706144509766736</v>
      </c>
      <c r="H581" s="16">
        <f t="shared" si="28"/>
        <v>0.9613136842105263</v>
      </c>
      <c r="I581" s="16">
        <f>F581/F580</f>
        <v>0.009978785378163303</v>
      </c>
    </row>
    <row r="582" spans="1:9" ht="18.75" customHeight="1">
      <c r="A582" s="24">
        <v>13720</v>
      </c>
      <c r="B582" s="483" t="s">
        <v>222</v>
      </c>
      <c r="C582" s="484"/>
      <c r="D582" s="400">
        <v>63047.9</v>
      </c>
      <c r="E582" s="64">
        <v>128400</v>
      </c>
      <c r="F582" s="64">
        <v>110305.55</v>
      </c>
      <c r="G582" s="401">
        <f t="shared" si="27"/>
        <v>1.749551531454656</v>
      </c>
      <c r="H582" s="16">
        <f t="shared" si="28"/>
        <v>0.859077492211838</v>
      </c>
      <c r="I582" s="16">
        <f>F582/F580</f>
        <v>0.2410550933525748</v>
      </c>
    </row>
    <row r="583" spans="1:9" ht="18.75" customHeight="1">
      <c r="A583" s="24">
        <v>13730</v>
      </c>
      <c r="B583" s="483" t="s">
        <v>223</v>
      </c>
      <c r="C583" s="484"/>
      <c r="D583" s="400">
        <v>0</v>
      </c>
      <c r="E583" s="64">
        <v>4000</v>
      </c>
      <c r="F583" s="64">
        <v>0</v>
      </c>
      <c r="G583" s="15" t="e">
        <f t="shared" si="27"/>
        <v>#DIV/0!</v>
      </c>
      <c r="H583" s="16">
        <f t="shared" si="28"/>
        <v>0</v>
      </c>
      <c r="I583" s="16">
        <f>F583/F580</f>
        <v>0</v>
      </c>
    </row>
    <row r="584" spans="1:9" ht="18.75" customHeight="1">
      <c r="A584" s="24">
        <v>13760</v>
      </c>
      <c r="B584" s="483" t="s">
        <v>224</v>
      </c>
      <c r="C584" s="484"/>
      <c r="D584" s="400">
        <v>121428.07</v>
      </c>
      <c r="E584" s="64">
        <f>120470+15000</f>
        <v>135470</v>
      </c>
      <c r="F584" s="64">
        <v>79245.71</v>
      </c>
      <c r="G584" s="15">
        <f t="shared" si="27"/>
        <v>0.6526144243254464</v>
      </c>
      <c r="H584" s="16">
        <f t="shared" si="28"/>
        <v>0.5849687015575404</v>
      </c>
      <c r="I584" s="16">
        <f>F584/F580</f>
        <v>0.17317879310552436</v>
      </c>
    </row>
    <row r="585" spans="1:9" ht="18.75" customHeight="1">
      <c r="A585" s="24">
        <v>13770</v>
      </c>
      <c r="B585" s="483" t="s">
        <v>225</v>
      </c>
      <c r="C585" s="484"/>
      <c r="D585" s="400">
        <v>32332.5</v>
      </c>
      <c r="E585" s="64">
        <f>36670+1000</f>
        <v>37670</v>
      </c>
      <c r="F585" s="64">
        <v>88556.66</v>
      </c>
      <c r="G585" s="15">
        <f t="shared" si="27"/>
        <v>2.738936364339287</v>
      </c>
      <c r="H585" s="16">
        <f t="shared" si="28"/>
        <v>2.3508537297584287</v>
      </c>
      <c r="I585" s="16">
        <f>F585/F580</f>
        <v>0.19352638143132625</v>
      </c>
    </row>
    <row r="586" spans="1:9" ht="18.75" customHeight="1">
      <c r="A586" s="24">
        <v>13780</v>
      </c>
      <c r="B586" s="483" t="s">
        <v>226</v>
      </c>
      <c r="C586" s="484"/>
      <c r="D586" s="400">
        <v>68631.31</v>
      </c>
      <c r="E586" s="64">
        <f>115308+2000</f>
        <v>117308</v>
      </c>
      <c r="F586" s="64">
        <v>174920.61</v>
      </c>
      <c r="G586" s="15">
        <f t="shared" si="27"/>
        <v>2.548699857251741</v>
      </c>
      <c r="H586" s="16">
        <f t="shared" si="28"/>
        <v>1.4911226003341629</v>
      </c>
      <c r="I586" s="16">
        <f>F586/F580</f>
        <v>0.38226094673241123</v>
      </c>
    </row>
    <row r="587" spans="1:9" ht="24.75" customHeight="1">
      <c r="A587" s="35">
        <v>1380</v>
      </c>
      <c r="B587" s="530" t="s">
        <v>227</v>
      </c>
      <c r="C587" s="531"/>
      <c r="D587" s="66">
        <f>D588</f>
        <v>0</v>
      </c>
      <c r="E587" s="66">
        <f>E588</f>
        <v>0</v>
      </c>
      <c r="F587" s="66">
        <f>F588</f>
        <v>0</v>
      </c>
      <c r="G587" s="20" t="e">
        <f>F587/D587</f>
        <v>#DIV/0!</v>
      </c>
      <c r="H587" s="21" t="e">
        <f>F587/E587</f>
        <v>#DIV/0!</v>
      </c>
      <c r="I587" s="21">
        <f>F587/F617</f>
        <v>0</v>
      </c>
    </row>
    <row r="588" spans="1:9" ht="18.75" customHeight="1">
      <c r="A588" s="24">
        <v>13820</v>
      </c>
      <c r="B588" s="483" t="s">
        <v>228</v>
      </c>
      <c r="C588" s="484"/>
      <c r="D588" s="64">
        <v>0</v>
      </c>
      <c r="E588" s="64">
        <v>0</v>
      </c>
      <c r="F588" s="64">
        <v>0</v>
      </c>
      <c r="G588" s="15" t="e">
        <f>F588/D588</f>
        <v>#DIV/0!</v>
      </c>
      <c r="H588" s="16" t="e">
        <f>F588/E588</f>
        <v>#DIV/0!</v>
      </c>
      <c r="I588" s="16" t="e">
        <f>F588/F587</f>
        <v>#DIV/0!</v>
      </c>
    </row>
    <row r="589" spans="1:9" ht="24.75" customHeight="1">
      <c r="A589" s="35">
        <v>1390</v>
      </c>
      <c r="B589" s="530" t="s">
        <v>229</v>
      </c>
      <c r="C589" s="531"/>
      <c r="D589" s="66">
        <f>D590</f>
        <v>143</v>
      </c>
      <c r="E589" s="66">
        <f>E590</f>
        <v>260</v>
      </c>
      <c r="F589" s="66">
        <f>F590</f>
        <v>0</v>
      </c>
      <c r="G589" s="20">
        <f>F589/D589</f>
        <v>0</v>
      </c>
      <c r="H589" s="21">
        <f>F589/E589</f>
        <v>0</v>
      </c>
      <c r="I589" s="21">
        <f>F589/F617</f>
        <v>0</v>
      </c>
    </row>
    <row r="590" spans="1:9" ht="18.75" customHeight="1">
      <c r="A590" s="24">
        <v>13912</v>
      </c>
      <c r="B590" s="483" t="s">
        <v>230</v>
      </c>
      <c r="C590" s="484"/>
      <c r="D590" s="400">
        <v>143</v>
      </c>
      <c r="E590" s="64">
        <v>260</v>
      </c>
      <c r="F590" s="64">
        <v>0</v>
      </c>
      <c r="G590" s="15">
        <f>F590/D590</f>
        <v>0</v>
      </c>
      <c r="H590" s="16">
        <f>F590/E590</f>
        <v>0</v>
      </c>
      <c r="I590" s="16" t="e">
        <f>F590/F589</f>
        <v>#DIV/0!</v>
      </c>
    </row>
    <row r="591" spans="1:9" ht="24.75" customHeight="1">
      <c r="A591" s="35">
        <v>1395</v>
      </c>
      <c r="B591" s="530" t="s">
        <v>1143</v>
      </c>
      <c r="C591" s="531"/>
      <c r="D591" s="66">
        <f>D592+D593+D594+D595</f>
        <v>13108.04</v>
      </c>
      <c r="E591" s="66">
        <f>E592+E593+E594+E595</f>
        <v>52150</v>
      </c>
      <c r="F591" s="66">
        <f>F592+F593+F594+F595</f>
        <v>9272.59</v>
      </c>
      <c r="G591" s="20">
        <f t="shared" si="27"/>
        <v>0.7073971394655494</v>
      </c>
      <c r="H591" s="21">
        <f t="shared" si="28"/>
        <v>0.17780613614573346</v>
      </c>
      <c r="I591" s="21">
        <f>F591/F617</f>
        <v>0.006324988240649615</v>
      </c>
    </row>
    <row r="592" spans="1:9" ht="18.75" customHeight="1">
      <c r="A592" s="24">
        <v>13950</v>
      </c>
      <c r="B592" s="483" t="s">
        <v>231</v>
      </c>
      <c r="C592" s="484"/>
      <c r="D592" s="400">
        <v>6091.2</v>
      </c>
      <c r="E592" s="64">
        <f>29550+500</f>
        <v>30050</v>
      </c>
      <c r="F592" s="64">
        <v>3604.16</v>
      </c>
      <c r="G592" s="15">
        <f t="shared" si="27"/>
        <v>0.5916995009193591</v>
      </c>
      <c r="H592" s="16">
        <f t="shared" si="28"/>
        <v>0.11993876871880199</v>
      </c>
      <c r="I592" s="16">
        <f>F592/F591</f>
        <v>0.38868967570010104</v>
      </c>
    </row>
    <row r="593" spans="1:9" ht="18.75" customHeight="1">
      <c r="A593" s="24">
        <v>13951</v>
      </c>
      <c r="B593" s="483" t="s">
        <v>232</v>
      </c>
      <c r="C593" s="484"/>
      <c r="D593" s="400">
        <v>7016.84</v>
      </c>
      <c r="E593" s="64">
        <v>0</v>
      </c>
      <c r="F593" s="64">
        <v>5668.43</v>
      </c>
      <c r="G593" s="15">
        <f t="shared" si="27"/>
        <v>0.8078323005797482</v>
      </c>
      <c r="H593" s="16" t="e">
        <f t="shared" si="28"/>
        <v>#DIV/0!</v>
      </c>
      <c r="I593" s="16">
        <f>F593/F591</f>
        <v>0.611310324299899</v>
      </c>
    </row>
    <row r="594" spans="1:9" ht="18.75" customHeight="1">
      <c r="A594" s="24">
        <v>13952</v>
      </c>
      <c r="B594" s="483" t="s">
        <v>1070</v>
      </c>
      <c r="C594" s="484"/>
      <c r="D594" s="400"/>
      <c r="E594" s="64">
        <v>0</v>
      </c>
      <c r="F594" s="64">
        <v>0</v>
      </c>
      <c r="G594" s="15" t="e">
        <f>F594/D594</f>
        <v>#DIV/0!</v>
      </c>
      <c r="H594" s="16" t="e">
        <f>F594/E594</f>
        <v>#DIV/0!</v>
      </c>
      <c r="I594" s="16">
        <f>F594/F591</f>
        <v>0</v>
      </c>
    </row>
    <row r="595" spans="1:9" ht="18.75" customHeight="1">
      <c r="A595" s="24">
        <v>13953</v>
      </c>
      <c r="B595" s="483" t="s">
        <v>233</v>
      </c>
      <c r="C595" s="484"/>
      <c r="D595" s="400"/>
      <c r="E595" s="64">
        <v>22100</v>
      </c>
      <c r="F595" s="64">
        <v>0</v>
      </c>
      <c r="G595" s="15" t="e">
        <f t="shared" si="27"/>
        <v>#DIV/0!</v>
      </c>
      <c r="H595" s="16">
        <f t="shared" si="28"/>
        <v>0</v>
      </c>
      <c r="I595" s="16">
        <f>F595/F591</f>
        <v>0</v>
      </c>
    </row>
    <row r="596" spans="1:9" ht="24.75" customHeight="1">
      <c r="A596" s="35">
        <v>1400</v>
      </c>
      <c r="B596" s="530" t="s">
        <v>234</v>
      </c>
      <c r="C596" s="531"/>
      <c r="D596" s="66">
        <f>D597+D598+D599+D600+D601+D602+D603</f>
        <v>79299.26</v>
      </c>
      <c r="E596" s="66">
        <f>E597+E598+E599+E600+E601+E602+E603</f>
        <v>271980</v>
      </c>
      <c r="F596" s="66">
        <f>F597+F598+F599+F600+F601+F602+F603</f>
        <v>116793.87</v>
      </c>
      <c r="G596" s="20">
        <f t="shared" si="27"/>
        <v>1.4728242104655203</v>
      </c>
      <c r="H596" s="21">
        <f t="shared" si="28"/>
        <v>0.42942080300022056</v>
      </c>
      <c r="I596" s="21">
        <f>F596/F617</f>
        <v>0.07966704602812805</v>
      </c>
    </row>
    <row r="597" spans="1:9" ht="18.75" customHeight="1">
      <c r="A597" s="24">
        <v>14010</v>
      </c>
      <c r="B597" s="483" t="s">
        <v>235</v>
      </c>
      <c r="C597" s="484"/>
      <c r="D597" s="400">
        <v>36697.39</v>
      </c>
      <c r="E597" s="64">
        <f>55600+1500</f>
        <v>57100</v>
      </c>
      <c r="F597" s="64">
        <v>60957.42</v>
      </c>
      <c r="G597" s="15">
        <f t="shared" si="27"/>
        <v>1.661083254149682</v>
      </c>
      <c r="H597" s="16">
        <f t="shared" si="28"/>
        <v>1.0675555166374782</v>
      </c>
      <c r="I597" s="16">
        <f>F597/F596</f>
        <v>0.5219231112043808</v>
      </c>
    </row>
    <row r="598" spans="1:9" ht="18.75" customHeight="1">
      <c r="A598" s="24">
        <v>14020</v>
      </c>
      <c r="B598" s="483" t="s">
        <v>236</v>
      </c>
      <c r="C598" s="484"/>
      <c r="D598" s="400">
        <v>3423.06</v>
      </c>
      <c r="E598" s="64">
        <f>76804+13026</f>
        <v>89830</v>
      </c>
      <c r="F598" s="64">
        <v>7615.65</v>
      </c>
      <c r="G598" s="15">
        <f t="shared" si="27"/>
        <v>2.2248076282624316</v>
      </c>
      <c r="H598" s="16">
        <f t="shared" si="28"/>
        <v>0.08477847044417232</v>
      </c>
      <c r="I598" s="16">
        <f>F598/F596</f>
        <v>0.06520590507018904</v>
      </c>
    </row>
    <row r="599" spans="1:9" ht="18.75" customHeight="1">
      <c r="A599" s="24">
        <v>14023</v>
      </c>
      <c r="B599" s="483" t="s">
        <v>237</v>
      </c>
      <c r="C599" s="484"/>
      <c r="D599" s="400">
        <v>5138.73</v>
      </c>
      <c r="E599" s="64">
        <v>0</v>
      </c>
      <c r="F599" s="64">
        <v>10710.66</v>
      </c>
      <c r="G599" s="15">
        <f t="shared" si="27"/>
        <v>2.0843009848736944</v>
      </c>
      <c r="H599" s="16" t="e">
        <f t="shared" si="28"/>
        <v>#DIV/0!</v>
      </c>
      <c r="I599" s="16">
        <f>F599/F596</f>
        <v>0.09170566914171095</v>
      </c>
    </row>
    <row r="600" spans="1:9" ht="18.75" customHeight="1">
      <c r="A600" s="24">
        <v>14030</v>
      </c>
      <c r="B600" s="483" t="s">
        <v>238</v>
      </c>
      <c r="C600" s="484"/>
      <c r="D600" s="400">
        <v>21297</v>
      </c>
      <c r="E600" s="64">
        <v>109550</v>
      </c>
      <c r="F600" s="64">
        <v>15019.8</v>
      </c>
      <c r="G600" s="15">
        <f t="shared" si="27"/>
        <v>0.7052542611635442</v>
      </c>
      <c r="H600" s="16">
        <f t="shared" si="28"/>
        <v>0.13710451848471017</v>
      </c>
      <c r="I600" s="16">
        <f>F600/F596</f>
        <v>0.12860092742881113</v>
      </c>
    </row>
    <row r="601" spans="1:9" ht="18.75" customHeight="1">
      <c r="A601" s="24">
        <v>14032</v>
      </c>
      <c r="B601" s="483" t="s">
        <v>239</v>
      </c>
      <c r="C601" s="484"/>
      <c r="D601" s="400">
        <v>0</v>
      </c>
      <c r="E601" s="64">
        <v>0</v>
      </c>
      <c r="F601" s="64">
        <v>4428.16</v>
      </c>
      <c r="G601" s="15" t="e">
        <f t="shared" si="27"/>
        <v>#DIV/0!</v>
      </c>
      <c r="H601" s="16" t="e">
        <f t="shared" si="28"/>
        <v>#DIV/0!</v>
      </c>
      <c r="I601" s="16">
        <f>F601/F596</f>
        <v>0.037914318619633035</v>
      </c>
    </row>
    <row r="602" spans="1:9" ht="18.75" customHeight="1">
      <c r="A602" s="24">
        <v>14040</v>
      </c>
      <c r="B602" s="483" t="s">
        <v>240</v>
      </c>
      <c r="C602" s="484"/>
      <c r="D602" s="400">
        <v>90</v>
      </c>
      <c r="E602" s="64">
        <v>5250</v>
      </c>
      <c r="F602" s="64">
        <v>0</v>
      </c>
      <c r="G602" s="15">
        <f t="shared" si="27"/>
        <v>0</v>
      </c>
      <c r="H602" s="16">
        <f t="shared" si="28"/>
        <v>0</v>
      </c>
      <c r="I602" s="16">
        <f>F602/F596</f>
        <v>0</v>
      </c>
    </row>
    <row r="603" spans="1:9" ht="18.75" customHeight="1">
      <c r="A603" s="24">
        <v>14050</v>
      </c>
      <c r="B603" s="483" t="s">
        <v>241</v>
      </c>
      <c r="C603" s="484"/>
      <c r="D603" s="400">
        <v>12653.08</v>
      </c>
      <c r="E603" s="64">
        <f>9250+1000</f>
        <v>10250</v>
      </c>
      <c r="F603" s="64">
        <v>18062.18</v>
      </c>
      <c r="G603" s="15">
        <f t="shared" si="27"/>
        <v>1.4274927527526895</v>
      </c>
      <c r="H603" s="72">
        <f t="shared" si="28"/>
        <v>1.7621639024390243</v>
      </c>
      <c r="I603" s="16">
        <f>F603/F596</f>
        <v>0.15465006853527502</v>
      </c>
    </row>
    <row r="604" spans="1:9" ht="24.75" customHeight="1">
      <c r="A604" s="35">
        <v>1410</v>
      </c>
      <c r="B604" s="530" t="s">
        <v>242</v>
      </c>
      <c r="C604" s="531"/>
      <c r="D604" s="66">
        <f>D605+D607+D606</f>
        <v>231.62</v>
      </c>
      <c r="E604" s="66">
        <f>E605+E606+E607</f>
        <v>0</v>
      </c>
      <c r="F604" s="66">
        <f>F605+F607+F606</f>
        <v>0</v>
      </c>
      <c r="G604" s="20">
        <f t="shared" si="27"/>
        <v>0</v>
      </c>
      <c r="H604" s="21" t="e">
        <f t="shared" si="28"/>
        <v>#DIV/0!</v>
      </c>
      <c r="I604" s="21">
        <f>F604/F617</f>
        <v>0</v>
      </c>
    </row>
    <row r="605" spans="1:9" ht="18.75" customHeight="1">
      <c r="A605" s="71">
        <v>14110</v>
      </c>
      <c r="B605" s="566" t="s">
        <v>243</v>
      </c>
      <c r="C605" s="567"/>
      <c r="D605" s="400">
        <v>0</v>
      </c>
      <c r="E605" s="64">
        <v>0</v>
      </c>
      <c r="F605" s="64">
        <v>0</v>
      </c>
      <c r="G605" s="15" t="e">
        <f t="shared" si="27"/>
        <v>#DIV/0!</v>
      </c>
      <c r="H605" s="16" t="e">
        <f t="shared" si="28"/>
        <v>#DIV/0!</v>
      </c>
      <c r="I605" s="16" t="e">
        <f>F605/F604</f>
        <v>#DIV/0!</v>
      </c>
    </row>
    <row r="606" spans="1:9" ht="18.75" customHeight="1">
      <c r="A606" s="24">
        <v>14130</v>
      </c>
      <c r="B606" s="483" t="s">
        <v>244</v>
      </c>
      <c r="C606" s="484"/>
      <c r="D606" s="400">
        <v>231.62</v>
      </c>
      <c r="E606" s="64">
        <v>0</v>
      </c>
      <c r="F606" s="64">
        <v>0</v>
      </c>
      <c r="G606" s="15">
        <f t="shared" si="27"/>
        <v>0</v>
      </c>
      <c r="H606" s="16" t="e">
        <f t="shared" si="28"/>
        <v>#DIV/0!</v>
      </c>
      <c r="I606" s="16" t="e">
        <f>F606/F604</f>
        <v>#DIV/0!</v>
      </c>
    </row>
    <row r="607" spans="1:9" ht="18.75" customHeight="1">
      <c r="A607" s="24">
        <v>14150</v>
      </c>
      <c r="B607" s="483" t="s">
        <v>245</v>
      </c>
      <c r="C607" s="484"/>
      <c r="D607" s="400">
        <v>0</v>
      </c>
      <c r="E607" s="64">
        <v>0</v>
      </c>
      <c r="F607" s="64">
        <v>0</v>
      </c>
      <c r="G607" s="15" t="e">
        <f t="shared" si="27"/>
        <v>#DIV/0!</v>
      </c>
      <c r="H607" s="16" t="e">
        <f t="shared" si="28"/>
        <v>#DIV/0!</v>
      </c>
      <c r="I607" s="16" t="e">
        <f>F607/F604</f>
        <v>#DIV/0!</v>
      </c>
    </row>
    <row r="608" spans="1:9" ht="24.75" customHeight="1">
      <c r="A608" s="35">
        <v>1420</v>
      </c>
      <c r="B608" s="530" t="s">
        <v>246</v>
      </c>
      <c r="C608" s="531"/>
      <c r="D608" s="66">
        <f>D609+D610+D611</f>
        <v>13177.3</v>
      </c>
      <c r="E608" s="66">
        <f>E609+E610+E611</f>
        <v>23600</v>
      </c>
      <c r="F608" s="66">
        <f>F609+F610+F611</f>
        <v>16681.5</v>
      </c>
      <c r="G608" s="20">
        <f t="shared" si="27"/>
        <v>1.2659270108444067</v>
      </c>
      <c r="H608" s="21">
        <f t="shared" si="28"/>
        <v>0.7068432203389831</v>
      </c>
      <c r="I608" s="21">
        <f>F608/F617</f>
        <v>0.011378729280211521</v>
      </c>
    </row>
    <row r="609" spans="1:9" ht="18.75" customHeight="1">
      <c r="A609" s="24">
        <v>14210</v>
      </c>
      <c r="B609" s="483" t="s">
        <v>247</v>
      </c>
      <c r="C609" s="484"/>
      <c r="D609" s="400">
        <v>2500</v>
      </c>
      <c r="E609" s="64">
        <v>15500</v>
      </c>
      <c r="F609" s="64">
        <v>779</v>
      </c>
      <c r="G609" s="15">
        <f t="shared" si="27"/>
        <v>0.3116</v>
      </c>
      <c r="H609" s="16">
        <f t="shared" si="28"/>
        <v>0.050258064516129033</v>
      </c>
      <c r="I609" s="16">
        <f>F609/F608</f>
        <v>0.04669843838983305</v>
      </c>
    </row>
    <row r="610" spans="1:9" ht="18.75" customHeight="1">
      <c r="A610" s="24">
        <v>14220</v>
      </c>
      <c r="B610" s="483" t="s">
        <v>248</v>
      </c>
      <c r="C610" s="484"/>
      <c r="D610" s="400">
        <v>10677.3</v>
      </c>
      <c r="E610" s="64">
        <v>4000</v>
      </c>
      <c r="F610" s="64">
        <v>3897.5</v>
      </c>
      <c r="G610" s="15">
        <f t="shared" si="27"/>
        <v>0.3650267389695897</v>
      </c>
      <c r="H610" s="16">
        <f t="shared" si="28"/>
        <v>0.974375</v>
      </c>
      <c r="I610" s="16">
        <f>F610/F608</f>
        <v>0.2336420585678746</v>
      </c>
    </row>
    <row r="611" spans="1:9" ht="18.75" customHeight="1">
      <c r="A611" s="24">
        <v>14230</v>
      </c>
      <c r="B611" s="483" t="s">
        <v>249</v>
      </c>
      <c r="C611" s="484"/>
      <c r="D611" s="400">
        <v>0</v>
      </c>
      <c r="E611" s="64">
        <v>4100</v>
      </c>
      <c r="F611" s="64">
        <v>12005</v>
      </c>
      <c r="G611" s="15" t="e">
        <f t="shared" si="27"/>
        <v>#DIV/0!</v>
      </c>
      <c r="H611" s="72">
        <f t="shared" si="28"/>
        <v>2.928048780487805</v>
      </c>
      <c r="I611" s="16">
        <f>F611/F608</f>
        <v>0.7196595030422923</v>
      </c>
    </row>
    <row r="612" spans="1:9" ht="24.75" customHeight="1">
      <c r="A612" s="35">
        <v>1430</v>
      </c>
      <c r="B612" s="530" t="s">
        <v>250</v>
      </c>
      <c r="C612" s="531"/>
      <c r="D612" s="66">
        <f>D613</f>
        <v>27764.43</v>
      </c>
      <c r="E612" s="66">
        <f>E613</f>
        <v>43540</v>
      </c>
      <c r="F612" s="66">
        <f>F613</f>
        <v>26813</v>
      </c>
      <c r="G612" s="20">
        <f t="shared" si="27"/>
        <v>0.9657320535663797</v>
      </c>
      <c r="H612" s="21">
        <f t="shared" si="28"/>
        <v>0.6158245291685807</v>
      </c>
      <c r="I612" s="21">
        <f>F612/F617</f>
        <v>0.018289594352445013</v>
      </c>
    </row>
    <row r="613" spans="1:9" ht="18.75" customHeight="1">
      <c r="A613" s="24">
        <v>14310</v>
      </c>
      <c r="B613" s="483" t="s">
        <v>251</v>
      </c>
      <c r="C613" s="484"/>
      <c r="D613" s="400">
        <v>27764.43</v>
      </c>
      <c r="E613" s="64">
        <f>42540+1000</f>
        <v>43540</v>
      </c>
      <c r="F613" s="64">
        <v>26813</v>
      </c>
      <c r="G613" s="15">
        <f t="shared" si="27"/>
        <v>0.9657320535663797</v>
      </c>
      <c r="H613" s="16">
        <f t="shared" si="28"/>
        <v>0.6158245291685807</v>
      </c>
      <c r="I613" s="16">
        <f>F613/F612</f>
        <v>1</v>
      </c>
    </row>
    <row r="614" spans="1:9" ht="24.75" customHeight="1">
      <c r="A614" s="35">
        <v>1440</v>
      </c>
      <c r="B614" s="530" t="s">
        <v>252</v>
      </c>
      <c r="C614" s="531"/>
      <c r="D614" s="66">
        <f>D615+D616</f>
        <v>0</v>
      </c>
      <c r="E614" s="66">
        <f>E615+E616</f>
        <v>0</v>
      </c>
      <c r="F614" s="66">
        <f>F615+F616</f>
        <v>53473.31</v>
      </c>
      <c r="G614" s="20" t="e">
        <f t="shared" si="27"/>
        <v>#DIV/0!</v>
      </c>
      <c r="H614" s="21" t="e">
        <f t="shared" si="28"/>
        <v>#DIV/0!</v>
      </c>
      <c r="I614" s="21">
        <f>F614/F617</f>
        <v>0.03647503631009367</v>
      </c>
    </row>
    <row r="615" spans="1:9" ht="18.75" customHeight="1">
      <c r="A615" s="24">
        <v>14410</v>
      </c>
      <c r="B615" s="483" t="s">
        <v>252</v>
      </c>
      <c r="C615" s="484"/>
      <c r="D615" s="64">
        <v>0</v>
      </c>
      <c r="E615" s="64">
        <v>0</v>
      </c>
      <c r="F615" s="64">
        <v>53473.31</v>
      </c>
      <c r="G615" s="15" t="e">
        <f t="shared" si="27"/>
        <v>#DIV/0!</v>
      </c>
      <c r="H615" s="16" t="e">
        <f t="shared" si="28"/>
        <v>#DIV/0!</v>
      </c>
      <c r="I615" s="16">
        <f>F615/F614</f>
        <v>1</v>
      </c>
    </row>
    <row r="616" spans="1:9" ht="18.75" customHeight="1">
      <c r="A616" s="24">
        <v>14460</v>
      </c>
      <c r="B616" s="483" t="s">
        <v>253</v>
      </c>
      <c r="C616" s="484"/>
      <c r="D616" s="64">
        <v>0</v>
      </c>
      <c r="E616" s="64">
        <v>0</v>
      </c>
      <c r="F616" s="64">
        <v>0</v>
      </c>
      <c r="G616" s="15" t="e">
        <f t="shared" si="27"/>
        <v>#DIV/0!</v>
      </c>
      <c r="H616" s="16" t="e">
        <f t="shared" si="28"/>
        <v>#DIV/0!</v>
      </c>
      <c r="I616" s="16">
        <f>F616/F615</f>
        <v>0</v>
      </c>
    </row>
    <row r="617" spans="1:9" ht="35.25" customHeight="1">
      <c r="A617" s="267"/>
      <c r="B617" s="495" t="s">
        <v>95</v>
      </c>
      <c r="C617" s="496"/>
      <c r="D617" s="268">
        <f>D614+D612+D608+D604+D596+D591+D589+D587+D580+D572+D563+D548+D544+D535</f>
        <v>790850.78</v>
      </c>
      <c r="E617" s="66">
        <f>E535+E544+E548+E563+E572+E580+E587+E589+E591+E596+E604+E608+E612+E614</f>
        <v>1993669.78</v>
      </c>
      <c r="F617" s="374">
        <f>F535+F544+F548+F563+F572+F580+F587+F589+F591+F596+F604+F608+F612+F614</f>
        <v>1466024.8600000003</v>
      </c>
      <c r="G617" s="265">
        <f t="shared" si="27"/>
        <v>1.853731319579656</v>
      </c>
      <c r="H617" s="266">
        <f t="shared" si="28"/>
        <v>0.7353398615491881</v>
      </c>
      <c r="I617" s="266">
        <f>I535+I544+I548+I563+I572+I580+I587+I589+I591+I596+I604+I608+I612+I614</f>
        <v>0.9999999999999999</v>
      </c>
    </row>
    <row r="618" spans="1:9" ht="18.75" customHeight="1">
      <c r="A618" s="59"/>
      <c r="B618" s="59"/>
      <c r="C618" s="59"/>
      <c r="D618" s="59"/>
      <c r="E618" s="59"/>
      <c r="F618" s="73"/>
      <c r="G618" s="73"/>
      <c r="H618" s="74"/>
      <c r="I618" s="135"/>
    </row>
    <row r="619" spans="1:9" ht="18.75" customHeight="1">
      <c r="A619" s="486" t="s">
        <v>11</v>
      </c>
      <c r="B619" s="486"/>
      <c r="C619" s="486"/>
      <c r="D619" s="486"/>
      <c r="E619" s="486"/>
      <c r="F619" s="486"/>
      <c r="G619" s="486"/>
      <c r="H619" s="486"/>
      <c r="I619" s="486"/>
    </row>
    <row r="620" spans="1:9" ht="18.75" customHeight="1">
      <c r="A620" s="486" t="s">
        <v>211</v>
      </c>
      <c r="B620" s="486"/>
      <c r="C620" s="486"/>
      <c r="D620" s="486"/>
      <c r="E620" s="486"/>
      <c r="F620" s="486"/>
      <c r="G620" s="486"/>
      <c r="H620" s="486"/>
      <c r="I620" s="486"/>
    </row>
    <row r="621" spans="1:9" ht="18.75" customHeight="1">
      <c r="A621" s="39"/>
      <c r="B621" s="39"/>
      <c r="C621" s="39"/>
      <c r="D621" s="39"/>
      <c r="E621" s="39"/>
      <c r="F621" s="39"/>
      <c r="G621" s="39"/>
      <c r="H621" s="39"/>
      <c r="I621" s="39"/>
    </row>
    <row r="622" spans="1:9" ht="18.75" customHeight="1">
      <c r="A622" s="39"/>
      <c r="B622" s="39"/>
      <c r="C622" s="39"/>
      <c r="D622" s="39"/>
      <c r="E622" s="39"/>
      <c r="F622" s="39"/>
      <c r="G622" s="39"/>
      <c r="H622" s="39"/>
      <c r="I622" s="39"/>
    </row>
    <row r="623" spans="1:9" ht="18.75" customHeight="1">
      <c r="A623" s="59"/>
      <c r="B623" s="59"/>
      <c r="C623" s="59"/>
      <c r="D623" s="59"/>
      <c r="E623" s="59"/>
      <c r="F623" s="59"/>
      <c r="G623" s="59"/>
      <c r="H623" s="59"/>
      <c r="I623" s="430">
        <v>8</v>
      </c>
    </row>
    <row r="624" spans="1:9" ht="18.75" customHeight="1">
      <c r="A624" s="59"/>
      <c r="B624" s="59"/>
      <c r="C624" s="59"/>
      <c r="D624" s="59"/>
      <c r="E624" s="59"/>
      <c r="F624" s="59"/>
      <c r="G624" s="59"/>
      <c r="H624" s="59"/>
      <c r="I624" s="430"/>
    </row>
    <row r="625" spans="1:9" ht="18.75" customHeight="1">
      <c r="A625" s="59"/>
      <c r="B625" s="59"/>
      <c r="C625" s="59"/>
      <c r="D625" s="59"/>
      <c r="E625" s="59"/>
      <c r="F625" s="59"/>
      <c r="G625" s="59"/>
      <c r="H625" s="59"/>
      <c r="I625" s="135"/>
    </row>
    <row r="626" spans="1:9" ht="18.75" customHeight="1">
      <c r="A626" s="59"/>
      <c r="B626" s="59"/>
      <c r="C626" s="59"/>
      <c r="D626" s="487" t="s">
        <v>682</v>
      </c>
      <c r="E626" s="487"/>
      <c r="F626" s="487"/>
      <c r="G626" s="59"/>
      <c r="H626" s="59"/>
      <c r="I626" s="135"/>
    </row>
    <row r="627" spans="1:9" ht="19.5" customHeight="1">
      <c r="A627" s="59"/>
      <c r="B627" s="59"/>
      <c r="C627" s="59"/>
      <c r="D627" s="59"/>
      <c r="E627" s="59"/>
      <c r="F627" s="59"/>
      <c r="G627" s="59"/>
      <c r="H627" s="59"/>
      <c r="I627" s="135"/>
    </row>
    <row r="628" spans="1:9" ht="18.75" customHeight="1">
      <c r="A628" s="22" t="s">
        <v>683</v>
      </c>
      <c r="B628" s="491" t="s">
        <v>688</v>
      </c>
      <c r="C628" s="492"/>
      <c r="D628" s="5" t="s">
        <v>686</v>
      </c>
      <c r="E628" s="5" t="s">
        <v>712</v>
      </c>
      <c r="F628" s="5" t="s">
        <v>686</v>
      </c>
      <c r="G628" s="510" t="s">
        <v>713</v>
      </c>
      <c r="H628" s="511"/>
      <c r="I628" s="6" t="s">
        <v>714</v>
      </c>
    </row>
    <row r="629" spans="1:9" ht="18.75" customHeight="1">
      <c r="A629" s="23" t="s">
        <v>684</v>
      </c>
      <c r="B629" s="493"/>
      <c r="C629" s="494"/>
      <c r="D629" s="7" t="s">
        <v>656</v>
      </c>
      <c r="E629" s="7" t="s">
        <v>715</v>
      </c>
      <c r="F629" s="7" t="s">
        <v>657</v>
      </c>
      <c r="G629" s="8" t="s">
        <v>706</v>
      </c>
      <c r="H629" s="9" t="s">
        <v>707</v>
      </c>
      <c r="I629" s="10" t="s">
        <v>717</v>
      </c>
    </row>
    <row r="630" spans="1:9" ht="18.75" customHeight="1">
      <c r="A630" s="63">
        <v>1</v>
      </c>
      <c r="B630" s="546">
        <v>2</v>
      </c>
      <c r="C630" s="547"/>
      <c r="D630" s="233">
        <v>3</v>
      </c>
      <c r="E630" s="12">
        <v>4</v>
      </c>
      <c r="F630" s="12">
        <v>5</v>
      </c>
      <c r="G630" s="12">
        <v>6</v>
      </c>
      <c r="H630" s="12">
        <v>7</v>
      </c>
      <c r="I630" s="13">
        <v>8</v>
      </c>
    </row>
    <row r="631" spans="1:9" ht="18.75" customHeight="1">
      <c r="A631" s="24">
        <v>16019</v>
      </c>
      <c r="B631" s="483" t="s">
        <v>145</v>
      </c>
      <c r="C631" s="484"/>
      <c r="D631" s="398">
        <f>32714.43+21007.57+1053.2</f>
        <v>54775.2</v>
      </c>
      <c r="E631" s="14">
        <f>71149.78+56200</f>
        <v>127349.78</v>
      </c>
      <c r="F631" s="14">
        <v>100441.88</v>
      </c>
      <c r="G631" s="15">
        <f>F631/D631</f>
        <v>1.8337108764550383</v>
      </c>
      <c r="H631" s="16">
        <f>F631/E631</f>
        <v>0.7887087044830388</v>
      </c>
      <c r="I631" s="16">
        <f>F631/F656</f>
        <v>0.06851308101282813</v>
      </c>
    </row>
    <row r="632" spans="1:9" ht="18.75" customHeight="1">
      <c r="A632" s="24">
        <v>16319</v>
      </c>
      <c r="B632" s="483" t="s">
        <v>72</v>
      </c>
      <c r="C632" s="484"/>
      <c r="D632" s="398">
        <f>125862.94+7319.92</f>
        <v>133182.86000000002</v>
      </c>
      <c r="E632" s="14">
        <v>251398</v>
      </c>
      <c r="F632" s="14">
        <v>209915.32</v>
      </c>
      <c r="G632" s="15">
        <f aca="true" t="shared" si="29" ref="G632:G656">F632/D632</f>
        <v>1.5761436569240215</v>
      </c>
      <c r="H632" s="16">
        <f aca="true" t="shared" si="30" ref="H632:H656">F632/E632</f>
        <v>0.8349920047096636</v>
      </c>
      <c r="I632" s="16">
        <f>F632/F656</f>
        <v>0.143186739684619</v>
      </c>
    </row>
    <row r="633" spans="1:9" ht="18.75" customHeight="1">
      <c r="A633" s="24">
        <v>16637</v>
      </c>
      <c r="B633" s="483" t="s">
        <v>73</v>
      </c>
      <c r="C633" s="484"/>
      <c r="D633" s="398">
        <v>27324.49</v>
      </c>
      <c r="E633" s="14">
        <v>54500</v>
      </c>
      <c r="F633" s="14">
        <v>32176.45</v>
      </c>
      <c r="G633" s="15">
        <f t="shared" si="29"/>
        <v>1.1775681815104326</v>
      </c>
      <c r="H633" s="16">
        <f t="shared" si="30"/>
        <v>0.5903935779816514</v>
      </c>
      <c r="I633" s="16">
        <f>F633/F656</f>
        <v>0.021948093022106055</v>
      </c>
    </row>
    <row r="634" spans="1:9" ht="18.75" customHeight="1">
      <c r="A634" s="24">
        <v>16795</v>
      </c>
      <c r="B634" s="483" t="s">
        <v>74</v>
      </c>
      <c r="C634" s="484"/>
      <c r="D634" s="398">
        <v>0</v>
      </c>
      <c r="E634" s="14">
        <v>5000</v>
      </c>
      <c r="F634" s="14">
        <v>2356.68</v>
      </c>
      <c r="G634" s="15" t="e">
        <f t="shared" si="29"/>
        <v>#DIV/0!</v>
      </c>
      <c r="H634" s="16">
        <f t="shared" si="30"/>
        <v>0.471336</v>
      </c>
      <c r="I634" s="16">
        <f>F634/F656</f>
        <v>0.001607530720863765</v>
      </c>
    </row>
    <row r="635" spans="1:9" ht="18.75" customHeight="1">
      <c r="A635" s="24">
        <v>16919</v>
      </c>
      <c r="B635" s="483" t="s">
        <v>75</v>
      </c>
      <c r="C635" s="484"/>
      <c r="D635" s="398">
        <v>0</v>
      </c>
      <c r="E635" s="14">
        <v>5000</v>
      </c>
      <c r="F635" s="14">
        <v>2128.95</v>
      </c>
      <c r="G635" s="15" t="e">
        <f t="shared" si="29"/>
        <v>#DIV/0!</v>
      </c>
      <c r="H635" s="16">
        <f t="shared" si="30"/>
        <v>0.42578999999999995</v>
      </c>
      <c r="I635" s="16">
        <f>F635/F656</f>
        <v>0.001452192290927454</v>
      </c>
    </row>
    <row r="636" spans="1:9" ht="18.75" customHeight="1">
      <c r="A636" s="24">
        <v>17519</v>
      </c>
      <c r="B636" s="483" t="s">
        <v>76</v>
      </c>
      <c r="C636" s="484"/>
      <c r="D636" s="398">
        <f>17801.58+2350.54</f>
        <v>20152.120000000003</v>
      </c>
      <c r="E636" s="14">
        <v>52000</v>
      </c>
      <c r="F636" s="14">
        <v>108551.41</v>
      </c>
      <c r="G636" s="15">
        <f t="shared" si="29"/>
        <v>5.386600020246008</v>
      </c>
      <c r="H636" s="16">
        <f t="shared" si="30"/>
        <v>2.0875271153846153</v>
      </c>
      <c r="I636" s="16">
        <f>F636/F656</f>
        <v>0.0740447266358089</v>
      </c>
    </row>
    <row r="637" spans="1:9" ht="18.75" customHeight="1">
      <c r="A637" s="24">
        <v>18019</v>
      </c>
      <c r="B637" s="483" t="s">
        <v>77</v>
      </c>
      <c r="C637" s="484"/>
      <c r="D637" s="398">
        <f>37924.69+3000+1000</f>
        <v>41924.69</v>
      </c>
      <c r="E637" s="14">
        <v>120000</v>
      </c>
      <c r="F637" s="14">
        <v>51373.97</v>
      </c>
      <c r="G637" s="15">
        <f t="shared" si="29"/>
        <v>1.2253869974947935</v>
      </c>
      <c r="H637" s="16">
        <f t="shared" si="30"/>
        <v>0.42811641666666667</v>
      </c>
      <c r="I637" s="16">
        <f>F637/F656</f>
        <v>0.03504304149385298</v>
      </c>
    </row>
    <row r="638" spans="1:9" ht="18.75" customHeight="1">
      <c r="A638" s="24">
        <v>18423</v>
      </c>
      <c r="B638" s="483" t="s">
        <v>78</v>
      </c>
      <c r="C638" s="484"/>
      <c r="D638" s="398">
        <v>26276.02</v>
      </c>
      <c r="E638" s="14">
        <v>46000</v>
      </c>
      <c r="F638" s="14">
        <v>40879.14</v>
      </c>
      <c r="G638" s="15">
        <f t="shared" si="29"/>
        <v>1.5557584443915022</v>
      </c>
      <c r="H638" s="16">
        <f t="shared" si="30"/>
        <v>0.8886769565217392</v>
      </c>
      <c r="I638" s="16">
        <f>F638/F656</f>
        <v>0.02788434297082793</v>
      </c>
    </row>
    <row r="639" spans="1:9" ht="18.75" customHeight="1">
      <c r="A639" s="24">
        <v>19595</v>
      </c>
      <c r="B639" s="483" t="s">
        <v>79</v>
      </c>
      <c r="C639" s="484"/>
      <c r="D639" s="398">
        <v>6210.07</v>
      </c>
      <c r="E639" s="14">
        <v>37700</v>
      </c>
      <c r="F639" s="14">
        <v>15059.84</v>
      </c>
      <c r="G639" s="15">
        <f t="shared" si="29"/>
        <v>2.4250676723450786</v>
      </c>
      <c r="H639" s="16">
        <f t="shared" si="30"/>
        <v>0.3994652519893899</v>
      </c>
      <c r="I639" s="16">
        <f>F639/F656</f>
        <v>0.010272567956316921</v>
      </c>
    </row>
    <row r="640" spans="1:9" ht="18.75" customHeight="1">
      <c r="A640" s="24">
        <v>47019</v>
      </c>
      <c r="B640" s="483" t="s">
        <v>80</v>
      </c>
      <c r="C640" s="484"/>
      <c r="D640" s="398">
        <f>9068.51+1950.28</f>
        <v>11018.79</v>
      </c>
      <c r="E640" s="14">
        <v>30000</v>
      </c>
      <c r="F640" s="14">
        <v>9819.92</v>
      </c>
      <c r="G640" s="15">
        <f t="shared" si="29"/>
        <v>0.8911976723397033</v>
      </c>
      <c r="H640" s="16">
        <f t="shared" si="30"/>
        <v>0.32733066666666666</v>
      </c>
      <c r="I640" s="16">
        <f>F640/F656</f>
        <v>0.0066983311592683364</v>
      </c>
    </row>
    <row r="641" spans="1:9" ht="18.75" customHeight="1">
      <c r="A641" s="24">
        <v>48019</v>
      </c>
      <c r="B641" s="483" t="s">
        <v>81</v>
      </c>
      <c r="C641" s="484"/>
      <c r="D641" s="398">
        <f>2000.18+2960.3</f>
        <v>4960.4800000000005</v>
      </c>
      <c r="E641" s="14">
        <v>8400</v>
      </c>
      <c r="F641" s="14">
        <v>37249.01</v>
      </c>
      <c r="G641" s="15">
        <f t="shared" si="29"/>
        <v>7.509154356030061</v>
      </c>
      <c r="H641" s="16">
        <f t="shared" si="30"/>
        <v>4.434405952380953</v>
      </c>
      <c r="I641" s="16">
        <f>F641/F656</f>
        <v>0.025408170772765755</v>
      </c>
    </row>
    <row r="642" spans="1:9" ht="18.75" customHeight="1">
      <c r="A642" s="24">
        <v>65095</v>
      </c>
      <c r="B642" s="483" t="s">
        <v>82</v>
      </c>
      <c r="C642" s="484"/>
      <c r="D642" s="398">
        <f>8095.19+897.5</f>
        <v>8992.689999999999</v>
      </c>
      <c r="E642" s="14">
        <v>13900</v>
      </c>
      <c r="F642" s="14">
        <v>16051.68</v>
      </c>
      <c r="G642" s="15">
        <f t="shared" si="29"/>
        <v>1.7849697921311647</v>
      </c>
      <c r="H642" s="16">
        <f t="shared" si="30"/>
        <v>1.1547971223021583</v>
      </c>
      <c r="I642" s="16">
        <f>F642/F656</f>
        <v>0.010949118557239202</v>
      </c>
    </row>
    <row r="643" spans="1:9" ht="18.75" customHeight="1">
      <c r="A643" s="24">
        <v>65495</v>
      </c>
      <c r="B643" s="483" t="s">
        <v>910</v>
      </c>
      <c r="C643" s="484"/>
      <c r="D643" s="398">
        <v>3472.77</v>
      </c>
      <c r="E643" s="14">
        <v>7000</v>
      </c>
      <c r="F643" s="14">
        <v>2796.16</v>
      </c>
      <c r="G643" s="15">
        <f t="shared" si="29"/>
        <v>0.805167056845112</v>
      </c>
      <c r="H643" s="16">
        <f t="shared" si="30"/>
        <v>0.39945142857142857</v>
      </c>
      <c r="I643" s="16">
        <f>F643/F656</f>
        <v>0.0019073073563022663</v>
      </c>
    </row>
    <row r="644" spans="1:9" ht="18.75" customHeight="1">
      <c r="A644" s="24">
        <v>66400</v>
      </c>
      <c r="B644" s="483" t="s">
        <v>84</v>
      </c>
      <c r="C644" s="484"/>
      <c r="D644" s="398">
        <v>5056.86</v>
      </c>
      <c r="E644" s="75">
        <v>16000</v>
      </c>
      <c r="F644" s="14">
        <v>16116.35</v>
      </c>
      <c r="G644" s="15">
        <f t="shared" si="29"/>
        <v>3.187027127506002</v>
      </c>
      <c r="H644" s="16">
        <f t="shared" si="30"/>
        <v>1.007271875</v>
      </c>
      <c r="I644" s="16">
        <f>F644/F656</f>
        <v>0.010993231042480412</v>
      </c>
    </row>
    <row r="645" spans="1:9" ht="24.75" customHeight="1">
      <c r="A645" s="35"/>
      <c r="B645" s="530" t="s">
        <v>85</v>
      </c>
      <c r="C645" s="531"/>
      <c r="D645" s="76">
        <f>D646+D647+D648</f>
        <v>150809.46000000002</v>
      </c>
      <c r="E645" s="76">
        <f>E646+E647+E648</f>
        <v>414422</v>
      </c>
      <c r="F645" s="77">
        <f>F646+F647+F648</f>
        <v>340021.05</v>
      </c>
      <c r="G645" s="20">
        <f t="shared" si="29"/>
        <v>2.2546400603781747</v>
      </c>
      <c r="H645" s="21">
        <f t="shared" si="30"/>
        <v>0.8204705589954201</v>
      </c>
      <c r="I645" s="21">
        <f>F645/F656</f>
        <v>0.23193402736703933</v>
      </c>
    </row>
    <row r="646" spans="1:9" ht="18.75" customHeight="1">
      <c r="A646" s="24">
        <v>73028</v>
      </c>
      <c r="B646" s="483" t="s">
        <v>86</v>
      </c>
      <c r="C646" s="484"/>
      <c r="D646" s="400">
        <v>500</v>
      </c>
      <c r="E646" s="14">
        <v>10000</v>
      </c>
      <c r="F646" s="14">
        <v>5115.1</v>
      </c>
      <c r="G646" s="15">
        <f t="shared" si="29"/>
        <v>10.2302</v>
      </c>
      <c r="H646" s="16">
        <f t="shared" si="30"/>
        <v>0.51151</v>
      </c>
      <c r="I646" s="16">
        <f>F646/F645</f>
        <v>0.015043480396287232</v>
      </c>
    </row>
    <row r="647" spans="1:9" ht="18.75" customHeight="1">
      <c r="A647" s="24">
        <v>74100</v>
      </c>
      <c r="B647" s="483" t="s">
        <v>87</v>
      </c>
      <c r="C647" s="484"/>
      <c r="D647" s="402">
        <f>109970.36+33601.46</f>
        <v>143571.82</v>
      </c>
      <c r="E647" s="14">
        <v>379422</v>
      </c>
      <c r="F647" s="14">
        <v>309606.4</v>
      </c>
      <c r="G647" s="15">
        <f t="shared" si="29"/>
        <v>2.156456608267556</v>
      </c>
      <c r="H647" s="16">
        <f t="shared" si="30"/>
        <v>0.8159948553325849</v>
      </c>
      <c r="I647" s="16">
        <f>F647/F645</f>
        <v>0.9105506850237656</v>
      </c>
    </row>
    <row r="648" spans="1:9" ht="18.75" customHeight="1">
      <c r="A648" s="24">
        <v>75590</v>
      </c>
      <c r="B648" s="483" t="s">
        <v>88</v>
      </c>
      <c r="C648" s="484"/>
      <c r="D648" s="402">
        <v>6737.64</v>
      </c>
      <c r="E648" s="14">
        <v>25000</v>
      </c>
      <c r="F648" s="14">
        <v>25299.55</v>
      </c>
      <c r="G648" s="67">
        <f t="shared" si="29"/>
        <v>3.754957225378619</v>
      </c>
      <c r="H648" s="16">
        <f t="shared" si="30"/>
        <v>1.011982</v>
      </c>
      <c r="I648" s="16">
        <f>F648/F645</f>
        <v>0.07440583457994733</v>
      </c>
    </row>
    <row r="649" spans="1:9" ht="18.75" customHeight="1">
      <c r="A649" s="24">
        <v>76095</v>
      </c>
      <c r="B649" s="483" t="s">
        <v>89</v>
      </c>
      <c r="C649" s="484"/>
      <c r="D649" s="398">
        <v>0</v>
      </c>
      <c r="E649" s="78">
        <v>0</v>
      </c>
      <c r="F649" s="14">
        <v>0</v>
      </c>
      <c r="G649" s="15" t="e">
        <f t="shared" si="29"/>
        <v>#DIV/0!</v>
      </c>
      <c r="H649" s="16" t="e">
        <f t="shared" si="30"/>
        <v>#DIV/0!</v>
      </c>
      <c r="I649" s="16">
        <f>E649/E645</f>
        <v>0</v>
      </c>
    </row>
    <row r="650" spans="1:9" ht="18.75" customHeight="1">
      <c r="A650" s="24">
        <v>85019</v>
      </c>
      <c r="B650" s="483" t="s">
        <v>90</v>
      </c>
      <c r="C650" s="484"/>
      <c r="D650" s="402">
        <v>31616.69</v>
      </c>
      <c r="E650" s="78">
        <v>135000</v>
      </c>
      <c r="F650" s="14">
        <v>109044.4</v>
      </c>
      <c r="G650" s="67">
        <f t="shared" si="29"/>
        <v>3.4489505384656014</v>
      </c>
      <c r="H650" s="16">
        <f t="shared" si="30"/>
        <v>0.8077362962962963</v>
      </c>
      <c r="I650" s="16">
        <f>F650/F656</f>
        <v>0.07438100333441822</v>
      </c>
    </row>
    <row r="651" spans="1:9" ht="24.75" customHeight="1">
      <c r="A651" s="35"/>
      <c r="B651" s="530" t="s">
        <v>91</v>
      </c>
      <c r="C651" s="531"/>
      <c r="D651" s="76">
        <f>D652+D653+D654+D655</f>
        <v>265077.58999999997</v>
      </c>
      <c r="E651" s="79">
        <f>E652+E653+E654+E655</f>
        <v>670000</v>
      </c>
      <c r="F651" s="18">
        <f>F652+F653+F654+F655</f>
        <v>372042.65</v>
      </c>
      <c r="G651" s="20">
        <f t="shared" si="29"/>
        <v>1.4035235871881893</v>
      </c>
      <c r="H651" s="21">
        <f t="shared" si="30"/>
        <v>0.5552875373134328</v>
      </c>
      <c r="I651" s="21">
        <f>F651/F656</f>
        <v>0.2537764946223354</v>
      </c>
    </row>
    <row r="652" spans="1:9" ht="18.75" customHeight="1">
      <c r="A652" s="24">
        <v>92095</v>
      </c>
      <c r="B652" s="483" t="s">
        <v>86</v>
      </c>
      <c r="C652" s="484"/>
      <c r="D652" s="400">
        <f>20263.3+50573.58</f>
        <v>70836.88</v>
      </c>
      <c r="E652" s="80">
        <v>349000</v>
      </c>
      <c r="F652" s="14">
        <v>229245.32</v>
      </c>
      <c r="G652" s="67">
        <f t="shared" si="29"/>
        <v>3.236242477082559</v>
      </c>
      <c r="H652" s="16">
        <f t="shared" si="30"/>
        <v>0.6568633810888252</v>
      </c>
      <c r="I652" s="16">
        <f>F652/F651</f>
        <v>0.6161802148221447</v>
      </c>
    </row>
    <row r="653" spans="1:9" ht="18.75" customHeight="1">
      <c r="A653" s="24">
        <v>92570</v>
      </c>
      <c r="B653" s="483" t="s">
        <v>92</v>
      </c>
      <c r="C653" s="484"/>
      <c r="D653" s="400">
        <f>29760.26+8833</f>
        <v>38593.259999999995</v>
      </c>
      <c r="E653" s="80">
        <v>70000</v>
      </c>
      <c r="F653" s="14">
        <v>36146.97</v>
      </c>
      <c r="G653" s="15">
        <f t="shared" si="29"/>
        <v>0.9366135434011018</v>
      </c>
      <c r="H653" s="16">
        <f t="shared" si="30"/>
        <v>0.5163852857142858</v>
      </c>
      <c r="I653" s="16">
        <f>F653/F651</f>
        <v>0.09715813496113954</v>
      </c>
    </row>
    <row r="654" spans="1:9" ht="18.75" customHeight="1">
      <c r="A654" s="24">
        <v>93540</v>
      </c>
      <c r="B654" s="483" t="s">
        <v>93</v>
      </c>
      <c r="C654" s="484"/>
      <c r="D654" s="400">
        <f>7993.15+1473.54+4224.6+5427.93+2129.1+3432.74+6576.48+2657.37+7580.55+6570.54+1467.85+2526.4+4147.42+1701.08+6119.29+2984.82+4829.38+3040.72+1336.18+3955.51+3266.58+1830.99+7257.45+7727.16+1732.59+150+3963.12+3612.25+0.5</f>
        <v>109715.29</v>
      </c>
      <c r="E654" s="80">
        <v>169020</v>
      </c>
      <c r="F654" s="14">
        <v>76796.75</v>
      </c>
      <c r="G654" s="15">
        <f t="shared" si="29"/>
        <v>0.6999639703818857</v>
      </c>
      <c r="H654" s="16">
        <f t="shared" si="30"/>
        <v>0.4543648680629511</v>
      </c>
      <c r="I654" s="16">
        <f>F654/F651</f>
        <v>0.2064192102706504</v>
      </c>
    </row>
    <row r="655" spans="1:9" ht="18.75" customHeight="1">
      <c r="A655" s="24">
        <v>94740</v>
      </c>
      <c r="B655" s="483" t="s">
        <v>94</v>
      </c>
      <c r="C655" s="484"/>
      <c r="D655" s="400">
        <f>9337.84+2824.32+6162.19+10509.88+17097.93</f>
        <v>45932.159999999996</v>
      </c>
      <c r="E655" s="80">
        <v>81980</v>
      </c>
      <c r="F655" s="14">
        <v>29853.61</v>
      </c>
      <c r="G655" s="15">
        <f t="shared" si="29"/>
        <v>0.6499500567793896</v>
      </c>
      <c r="H655" s="16">
        <f t="shared" si="30"/>
        <v>0.36415723347157847</v>
      </c>
      <c r="I655" s="16">
        <f>F655/F651</f>
        <v>0.08024243994606532</v>
      </c>
    </row>
    <row r="656" spans="1:9" ht="30" customHeight="1">
      <c r="A656" s="35"/>
      <c r="B656" s="495" t="s">
        <v>95</v>
      </c>
      <c r="C656" s="496"/>
      <c r="D656" s="263">
        <f>D631+D632+D633+D634+D635+D636+D637+D638+D639+D640+D641+D642+D643+D644+D645+D650+D651</f>
        <v>790850.7799999999</v>
      </c>
      <c r="E656" s="18">
        <f>E631+E632+E633+E634+E635+E636+E637+E638+E639+E640+E641+E642+E643+E644+E645+E650+E651</f>
        <v>1993669.78</v>
      </c>
      <c r="F656" s="18">
        <f>F631+F632+F633+F634+F635+F636+F637+F638+F639+F640+F641+F642+F643+F644+F645+F649+F650+F651</f>
        <v>1466024.8599999999</v>
      </c>
      <c r="G656" s="265">
        <f t="shared" si="29"/>
        <v>1.8537313195796559</v>
      </c>
      <c r="H656" s="266">
        <f t="shared" si="30"/>
        <v>0.7353398615491878</v>
      </c>
      <c r="I656" s="266">
        <f>SUM(I631+I632+I633+I634+I635+I636+I637+I638+I639+I640+I641+I642+I643+I644+I645+I650+I651)</f>
        <v>1</v>
      </c>
    </row>
    <row r="657" spans="1:8" ht="18" customHeight="1">
      <c r="A657" s="176"/>
      <c r="B657" s="176"/>
      <c r="C657" s="205"/>
      <c r="D657" s="205"/>
      <c r="E657" s="205"/>
      <c r="F657" s="206"/>
      <c r="G657" s="207"/>
      <c r="H657" s="207"/>
    </row>
    <row r="658" spans="1:9" ht="18.75" customHeight="1">
      <c r="A658" s="486" t="s">
        <v>9</v>
      </c>
      <c r="B658" s="486"/>
      <c r="C658" s="486"/>
      <c r="D658" s="486"/>
      <c r="E658" s="486"/>
      <c r="F658" s="486"/>
      <c r="G658" s="486"/>
      <c r="H658" s="486"/>
      <c r="I658" s="486"/>
    </row>
    <row r="659" spans="1:9" ht="18.75" customHeight="1">
      <c r="A659" s="486" t="s">
        <v>864</v>
      </c>
      <c r="B659" s="486"/>
      <c r="C659" s="486"/>
      <c r="D659" s="486"/>
      <c r="E659" s="486"/>
      <c r="F659" s="486"/>
      <c r="G659" s="486"/>
      <c r="H659" s="486"/>
      <c r="I659" s="486"/>
    </row>
    <row r="660" spans="1:9" ht="18.75" customHeight="1">
      <c r="A660" s="486" t="s">
        <v>865</v>
      </c>
      <c r="B660" s="486"/>
      <c r="C660" s="486"/>
      <c r="D660" s="486"/>
      <c r="E660" s="486"/>
      <c r="F660" s="486"/>
      <c r="G660" s="486"/>
      <c r="H660" s="486"/>
      <c r="I660" s="486"/>
    </row>
    <row r="661" spans="1:9" ht="18.75" customHeight="1">
      <c r="A661" s="486" t="s">
        <v>949</v>
      </c>
      <c r="B661" s="486"/>
      <c r="C661" s="486"/>
      <c r="D661" s="486"/>
      <c r="E661" s="486"/>
      <c r="F661" s="486"/>
      <c r="G661" s="486"/>
      <c r="H661" s="486"/>
      <c r="I661" s="486"/>
    </row>
    <row r="662" spans="1:9" ht="18.75" customHeight="1">
      <c r="A662" s="486" t="s">
        <v>10</v>
      </c>
      <c r="B662" s="486"/>
      <c r="C662" s="486"/>
      <c r="D662" s="486"/>
      <c r="E662" s="486"/>
      <c r="F662" s="486"/>
      <c r="G662" s="486"/>
      <c r="H662" s="486"/>
      <c r="I662" s="486"/>
    </row>
    <row r="663" spans="1:9" ht="18.75" customHeight="1">
      <c r="A663" s="486" t="s">
        <v>647</v>
      </c>
      <c r="B663" s="486"/>
      <c r="C663" s="486"/>
      <c r="D663" s="486"/>
      <c r="E663" s="486"/>
      <c r="F663" s="486"/>
      <c r="G663" s="486"/>
      <c r="H663" s="486"/>
      <c r="I663" s="486"/>
    </row>
    <row r="664" spans="1:9" ht="18.75" customHeight="1">
      <c r="A664" s="39"/>
      <c r="B664" s="39"/>
      <c r="C664" s="39"/>
      <c r="D664" s="39"/>
      <c r="E664" s="39"/>
      <c r="F664" s="39"/>
      <c r="G664" s="39"/>
      <c r="H664" s="39"/>
      <c r="I664" s="39"/>
    </row>
    <row r="665" spans="1:9" ht="18.75" customHeight="1">
      <c r="A665" s="39"/>
      <c r="B665" s="39"/>
      <c r="C665" s="39"/>
      <c r="D665" s="39"/>
      <c r="E665" s="39"/>
      <c r="F665" s="39"/>
      <c r="G665" s="39"/>
      <c r="H665" s="39"/>
      <c r="I665" s="39"/>
    </row>
    <row r="666" spans="1:9" ht="18.75" customHeight="1">
      <c r="A666" s="39"/>
      <c r="B666" s="39"/>
      <c r="C666" s="39"/>
      <c r="D666" s="39"/>
      <c r="E666" s="39"/>
      <c r="F666" s="39"/>
      <c r="G666" s="39"/>
      <c r="H666" s="39"/>
      <c r="I666" s="39"/>
    </row>
    <row r="667" spans="1:9" ht="30" customHeight="1">
      <c r="A667" s="39"/>
      <c r="B667" s="633" t="s">
        <v>257</v>
      </c>
      <c r="C667" s="633"/>
      <c r="D667" s="633"/>
      <c r="E667" s="39"/>
      <c r="F667" s="39"/>
      <c r="G667" s="39"/>
      <c r="H667" s="40"/>
      <c r="I667" s="135"/>
    </row>
    <row r="668" spans="1:9" ht="30" customHeight="1">
      <c r="A668" s="39"/>
      <c r="B668" s="476"/>
      <c r="C668" s="476"/>
      <c r="D668" s="476"/>
      <c r="E668" s="39"/>
      <c r="F668" s="39"/>
      <c r="G668" s="39"/>
      <c r="H668" s="40"/>
      <c r="I668" s="135"/>
    </row>
    <row r="669" spans="1:9" ht="18.75" customHeight="1">
      <c r="A669" s="39"/>
      <c r="B669" s="81"/>
      <c r="C669" s="81"/>
      <c r="D669" s="39"/>
      <c r="E669" s="39"/>
      <c r="F669" s="39"/>
      <c r="G669" s="39"/>
      <c r="H669" s="40"/>
      <c r="I669" s="135"/>
    </row>
    <row r="670" spans="1:9" ht="18.75" customHeight="1">
      <c r="A670" s="39"/>
      <c r="B670" s="39"/>
      <c r="C670" s="39"/>
      <c r="D670" s="39"/>
      <c r="E670" s="39"/>
      <c r="F670" s="39"/>
      <c r="G670" s="39"/>
      <c r="H670" s="40"/>
      <c r="I670" s="135"/>
    </row>
    <row r="671" spans="1:9" ht="18.75" customHeight="1">
      <c r="A671" s="486" t="s">
        <v>615</v>
      </c>
      <c r="B671" s="486"/>
      <c r="C671" s="486"/>
      <c r="D671" s="486"/>
      <c r="E671" s="486"/>
      <c r="F671" s="486"/>
      <c r="G671" s="486"/>
      <c r="H671" s="486"/>
      <c r="I671" s="486"/>
    </row>
    <row r="672" spans="1:9" ht="18.75" customHeight="1">
      <c r="A672" s="486" t="s">
        <v>646</v>
      </c>
      <c r="B672" s="486"/>
      <c r="C672" s="486"/>
      <c r="D672" s="486"/>
      <c r="E672" s="486"/>
      <c r="F672" s="486"/>
      <c r="G672" s="486"/>
      <c r="H672" s="486"/>
      <c r="I672" s="486"/>
    </row>
    <row r="673" spans="1:9" ht="18.75" customHeight="1">
      <c r="A673" s="486" t="s">
        <v>866</v>
      </c>
      <c r="B673" s="486"/>
      <c r="C673" s="486"/>
      <c r="D673" s="486"/>
      <c r="E673" s="486"/>
      <c r="F673" s="486"/>
      <c r="G673" s="486"/>
      <c r="H673" s="486"/>
      <c r="I673" s="486"/>
    </row>
    <row r="674" spans="1:9" ht="18.75" customHeight="1">
      <c r="A674" s="486"/>
      <c r="B674" s="486"/>
      <c r="C674" s="486"/>
      <c r="D674" s="486"/>
      <c r="E674" s="486"/>
      <c r="F674" s="486"/>
      <c r="G674" s="486"/>
      <c r="H674" s="486"/>
      <c r="I674" s="486"/>
    </row>
    <row r="675" spans="1:9" ht="18.75" customHeight="1">
      <c r="A675" s="40"/>
      <c r="B675" s="40"/>
      <c r="C675" s="40"/>
      <c r="D675" s="41" t="s">
        <v>682</v>
      </c>
      <c r="E675" s="40"/>
      <c r="F675" s="40"/>
      <c r="G675" s="40"/>
      <c r="H675" s="40"/>
      <c r="I675" s="135"/>
    </row>
    <row r="676" spans="1:9" ht="18.75" customHeight="1">
      <c r="A676" s="40"/>
      <c r="B676" s="40"/>
      <c r="C676" s="40"/>
      <c r="D676" s="40"/>
      <c r="E676" s="40"/>
      <c r="F676" s="40"/>
      <c r="G676" s="40"/>
      <c r="H676" s="2"/>
      <c r="I676" s="135"/>
    </row>
    <row r="677" spans="1:9" ht="18.75" customHeight="1">
      <c r="A677" s="489" t="s">
        <v>710</v>
      </c>
      <c r="B677" s="491" t="s">
        <v>711</v>
      </c>
      <c r="C677" s="492"/>
      <c r="D677" s="5" t="s">
        <v>686</v>
      </c>
      <c r="E677" s="5" t="s">
        <v>712</v>
      </c>
      <c r="F677" s="5" t="s">
        <v>686</v>
      </c>
      <c r="G677" s="510" t="s">
        <v>713</v>
      </c>
      <c r="H677" s="511"/>
      <c r="I677" s="6" t="s">
        <v>714</v>
      </c>
    </row>
    <row r="678" spans="1:9" ht="18.75" customHeight="1">
      <c r="A678" s="490"/>
      <c r="B678" s="493"/>
      <c r="C678" s="494"/>
      <c r="D678" s="7" t="s">
        <v>656</v>
      </c>
      <c r="E678" s="7" t="s">
        <v>715</v>
      </c>
      <c r="F678" s="7" t="s">
        <v>657</v>
      </c>
      <c r="G678" s="8" t="s">
        <v>706</v>
      </c>
      <c r="H678" s="9" t="s">
        <v>707</v>
      </c>
      <c r="I678" s="10" t="s">
        <v>717</v>
      </c>
    </row>
    <row r="679" spans="1:9" ht="18.75" customHeight="1">
      <c r="A679" s="11">
        <v>1</v>
      </c>
      <c r="B679" s="535">
        <v>2</v>
      </c>
      <c r="C679" s="536"/>
      <c r="D679" s="12">
        <v>3</v>
      </c>
      <c r="E679" s="12">
        <v>4</v>
      </c>
      <c r="F679" s="12">
        <v>5</v>
      </c>
      <c r="G679" s="12">
        <v>6</v>
      </c>
      <c r="H679" s="12">
        <v>7</v>
      </c>
      <c r="I679" s="13">
        <v>8</v>
      </c>
    </row>
    <row r="680" spans="1:9" ht="18.75" customHeight="1">
      <c r="A680" s="4">
        <v>10</v>
      </c>
      <c r="B680" s="504" t="s">
        <v>258</v>
      </c>
      <c r="C680" s="505"/>
      <c r="D680" s="398">
        <v>258058.05</v>
      </c>
      <c r="E680" s="25">
        <v>532800</v>
      </c>
      <c r="F680" s="25">
        <v>273771.59</v>
      </c>
      <c r="G680" s="26">
        <f>F680/D680</f>
        <v>1.0608914932124769</v>
      </c>
      <c r="H680" s="27">
        <f>F680/E680</f>
        <v>0.5138355668168169</v>
      </c>
      <c r="I680" s="16">
        <f>F680/F682</f>
        <v>1</v>
      </c>
    </row>
    <row r="681" spans="1:9" ht="18.75" customHeight="1">
      <c r="A681" s="4">
        <v>22</v>
      </c>
      <c r="B681" s="504" t="s">
        <v>259</v>
      </c>
      <c r="C681" s="505"/>
      <c r="D681" s="398">
        <v>1999.91</v>
      </c>
      <c r="E681" s="25">
        <v>0</v>
      </c>
      <c r="F681" s="25">
        <v>0</v>
      </c>
      <c r="G681" s="15">
        <f>F681/D681</f>
        <v>0</v>
      </c>
      <c r="H681" s="16" t="e">
        <f>F681/E681</f>
        <v>#DIV/0!</v>
      </c>
      <c r="I681" s="16">
        <f>F681/F682</f>
        <v>0</v>
      </c>
    </row>
    <row r="682" spans="1:9" ht="30" customHeight="1">
      <c r="A682" s="210"/>
      <c r="B682" s="548" t="s">
        <v>95</v>
      </c>
      <c r="C682" s="549"/>
      <c r="D682" s="211">
        <f>D680+D681</f>
        <v>260057.96</v>
      </c>
      <c r="E682" s="211">
        <f>E680+E681</f>
        <v>532800</v>
      </c>
      <c r="F682" s="214">
        <f>F680+F681</f>
        <v>273771.59</v>
      </c>
      <c r="G682" s="212">
        <f>F682/D682</f>
        <v>1.0527329753721058</v>
      </c>
      <c r="H682" s="213">
        <f>F682/E682</f>
        <v>0.5138355668168169</v>
      </c>
      <c r="I682" s="266">
        <f>I680+I681</f>
        <v>1</v>
      </c>
    </row>
    <row r="683" spans="1:9" ht="18.75" customHeight="1">
      <c r="A683" s="39"/>
      <c r="B683" s="39"/>
      <c r="C683" s="39"/>
      <c r="D683" s="39"/>
      <c r="E683" s="39"/>
      <c r="F683" s="39"/>
      <c r="G683" s="39"/>
      <c r="H683" s="39"/>
      <c r="I683" s="138"/>
    </row>
    <row r="684" spans="1:9" ht="18.75" customHeight="1">
      <c r="A684" s="486" t="s">
        <v>950</v>
      </c>
      <c r="B684" s="486"/>
      <c r="C684" s="486"/>
      <c r="D684" s="486"/>
      <c r="E684" s="486"/>
      <c r="F684" s="486"/>
      <c r="G684" s="486"/>
      <c r="H684" s="486"/>
      <c r="I684" s="486"/>
    </row>
    <row r="685" spans="1:9" ht="18.75" customHeight="1">
      <c r="A685" s="486" t="s">
        <v>867</v>
      </c>
      <c r="B685" s="486"/>
      <c r="C685" s="486"/>
      <c r="D685" s="486"/>
      <c r="E685" s="486"/>
      <c r="F685" s="486"/>
      <c r="G685" s="486"/>
      <c r="H685" s="486"/>
      <c r="I685" s="486"/>
    </row>
    <row r="686" spans="1:9" ht="18.75" customHeight="1">
      <c r="A686" s="486" t="s">
        <v>868</v>
      </c>
      <c r="B686" s="486"/>
      <c r="C686" s="486"/>
      <c r="D686" s="486"/>
      <c r="E686" s="486"/>
      <c r="F686" s="486"/>
      <c r="G686" s="486"/>
      <c r="H686" s="486"/>
      <c r="I686" s="486"/>
    </row>
    <row r="687" spans="1:9" ht="18.75" customHeight="1">
      <c r="A687" s="486" t="s">
        <v>869</v>
      </c>
      <c r="B687" s="486"/>
      <c r="C687" s="486"/>
      <c r="D687" s="486"/>
      <c r="E687" s="486"/>
      <c r="F687" s="486"/>
      <c r="G687" s="486"/>
      <c r="H687" s="486"/>
      <c r="I687" s="486"/>
    </row>
    <row r="688" spans="1:9" ht="18.75" customHeight="1">
      <c r="A688" s="486" t="s">
        <v>870</v>
      </c>
      <c r="B688" s="486"/>
      <c r="C688" s="486"/>
      <c r="D688" s="486"/>
      <c r="E688" s="486"/>
      <c r="F688" s="486"/>
      <c r="G688" s="486"/>
      <c r="H688" s="486"/>
      <c r="I688" s="486"/>
    </row>
    <row r="689" spans="1:9" ht="18.75" customHeight="1">
      <c r="A689" s="39"/>
      <c r="B689" s="39"/>
      <c r="C689" s="39"/>
      <c r="D689" s="39"/>
      <c r="E689" s="39"/>
      <c r="F689" s="39"/>
      <c r="G689" s="39"/>
      <c r="H689" s="39"/>
      <c r="I689" s="441">
        <v>9</v>
      </c>
    </row>
    <row r="690" spans="1:8" ht="18.75" customHeight="1">
      <c r="A690" s="39"/>
      <c r="B690" s="39"/>
      <c r="C690" s="39"/>
      <c r="D690" s="39"/>
      <c r="E690" s="39"/>
      <c r="F690" s="39"/>
      <c r="G690" s="39"/>
      <c r="H690" s="39"/>
    </row>
    <row r="691" spans="1:9" ht="18.75" customHeight="1">
      <c r="A691" s="40"/>
      <c r="B691" s="40"/>
      <c r="C691" s="40"/>
      <c r="D691" s="487" t="s">
        <v>682</v>
      </c>
      <c r="E691" s="487"/>
      <c r="F691" s="487"/>
      <c r="G691" s="40"/>
      <c r="H691" s="40"/>
      <c r="I691" s="135"/>
    </row>
    <row r="692" spans="1:9" ht="20.25" customHeight="1">
      <c r="A692" s="40"/>
      <c r="B692" s="40"/>
      <c r="C692" s="40"/>
      <c r="D692" s="40"/>
      <c r="E692" s="40"/>
      <c r="F692" s="40"/>
      <c r="G692" s="40"/>
      <c r="H692" s="40"/>
      <c r="I692" s="135"/>
    </row>
    <row r="693" spans="1:9" ht="18.75" customHeight="1">
      <c r="A693" s="22" t="s">
        <v>683</v>
      </c>
      <c r="B693" s="491" t="s">
        <v>688</v>
      </c>
      <c r="C693" s="492"/>
      <c r="D693" s="5" t="s">
        <v>686</v>
      </c>
      <c r="E693" s="5" t="s">
        <v>712</v>
      </c>
      <c r="F693" s="5" t="s">
        <v>686</v>
      </c>
      <c r="G693" s="192" t="s">
        <v>713</v>
      </c>
      <c r="H693" s="193"/>
      <c r="I693" s="6" t="s">
        <v>714</v>
      </c>
    </row>
    <row r="694" spans="1:9" ht="18.75" customHeight="1">
      <c r="A694" s="23" t="s">
        <v>97</v>
      </c>
      <c r="B694" s="493"/>
      <c r="C694" s="494"/>
      <c r="D694" s="7" t="s">
        <v>656</v>
      </c>
      <c r="E694" s="7" t="s">
        <v>715</v>
      </c>
      <c r="F694" s="7" t="s">
        <v>657</v>
      </c>
      <c r="G694" s="8" t="s">
        <v>706</v>
      </c>
      <c r="H694" s="9" t="s">
        <v>707</v>
      </c>
      <c r="I694" s="10" t="s">
        <v>717</v>
      </c>
    </row>
    <row r="695" spans="1:9" ht="18.75" customHeight="1">
      <c r="A695" s="13">
        <v>1</v>
      </c>
      <c r="B695" s="535">
        <v>2</v>
      </c>
      <c r="C695" s="536"/>
      <c r="D695" s="12">
        <v>3</v>
      </c>
      <c r="E695" s="12">
        <v>4</v>
      </c>
      <c r="F695" s="12">
        <v>5</v>
      </c>
      <c r="G695" s="12">
        <v>6</v>
      </c>
      <c r="H695" s="12">
        <v>7</v>
      </c>
      <c r="I695" s="13">
        <v>8</v>
      </c>
    </row>
    <row r="696" spans="1:9" ht="18.75" customHeight="1">
      <c r="A696" s="4">
        <v>13210</v>
      </c>
      <c r="B696" s="580" t="s">
        <v>260</v>
      </c>
      <c r="C696" s="581"/>
      <c r="D696" s="398">
        <v>185309.81</v>
      </c>
      <c r="E696" s="25">
        <v>374650</v>
      </c>
      <c r="F696" s="25">
        <v>219770.58</v>
      </c>
      <c r="G696" s="26">
        <f>F696/D696</f>
        <v>1.1859630097294902</v>
      </c>
      <c r="H696" s="27">
        <f>F696/E696</f>
        <v>0.5866023755505138</v>
      </c>
      <c r="I696" s="16">
        <f>F696/F700</f>
        <v>0.8027515930341785</v>
      </c>
    </row>
    <row r="697" spans="1:9" ht="18.75" customHeight="1">
      <c r="A697" s="45">
        <v>13220</v>
      </c>
      <c r="B697" s="504" t="s">
        <v>261</v>
      </c>
      <c r="C697" s="505"/>
      <c r="D697" s="398">
        <v>40795.41</v>
      </c>
      <c r="E697" s="25">
        <v>74990</v>
      </c>
      <c r="F697" s="25">
        <v>29301.04</v>
      </c>
      <c r="G697" s="26">
        <f>F697/D697</f>
        <v>0.7182435474971326</v>
      </c>
      <c r="H697" s="27">
        <f>F697/E697</f>
        <v>0.390732631017469</v>
      </c>
      <c r="I697" s="16">
        <f>F697/F700</f>
        <v>0.10702732157124119</v>
      </c>
    </row>
    <row r="698" spans="1:9" ht="18.75" customHeight="1">
      <c r="A698" s="45">
        <v>13230</v>
      </c>
      <c r="B698" s="504" t="s">
        <v>262</v>
      </c>
      <c r="C698" s="505"/>
      <c r="D698" s="398">
        <v>14002.07</v>
      </c>
      <c r="E698" s="25">
        <v>46208</v>
      </c>
      <c r="F698" s="25">
        <v>9159.89</v>
      </c>
      <c r="G698" s="26">
        <f>F698/D698</f>
        <v>0.6541811317897996</v>
      </c>
      <c r="H698" s="27">
        <f>F698/E698</f>
        <v>0.19823169148199446</v>
      </c>
      <c r="I698" s="16">
        <f>F698/F700</f>
        <v>0.0334581466250753</v>
      </c>
    </row>
    <row r="699" spans="1:9" ht="18.75" customHeight="1">
      <c r="A699" s="45">
        <v>13250</v>
      </c>
      <c r="B699" s="504" t="s">
        <v>263</v>
      </c>
      <c r="C699" s="505"/>
      <c r="D699" s="398">
        <v>19950.67</v>
      </c>
      <c r="E699" s="25">
        <v>36952</v>
      </c>
      <c r="F699" s="25">
        <v>15540.08</v>
      </c>
      <c r="G699" s="26">
        <f>F699/D699</f>
        <v>0.7789252190527938</v>
      </c>
      <c r="H699" s="27">
        <f>F699/E699</f>
        <v>0.4205477376055423</v>
      </c>
      <c r="I699" s="16">
        <f>F699/F700</f>
        <v>0.056762938769504896</v>
      </c>
    </row>
    <row r="700" spans="1:9" ht="27" customHeight="1">
      <c r="A700" s="17"/>
      <c r="B700" s="548" t="s">
        <v>95</v>
      </c>
      <c r="C700" s="549"/>
      <c r="D700" s="211">
        <f>SUM(D696:D699)</f>
        <v>260057.96000000002</v>
      </c>
      <c r="E700" s="211">
        <f>SUM(E696:E699)</f>
        <v>532800</v>
      </c>
      <c r="F700" s="211">
        <f>SUM(F696:F699)</f>
        <v>273771.59</v>
      </c>
      <c r="G700" s="212">
        <f>F700/D700</f>
        <v>1.0527329753721055</v>
      </c>
      <c r="H700" s="213">
        <f>F700/E700</f>
        <v>0.5138355668168169</v>
      </c>
      <c r="I700" s="266">
        <f>I696+I697+I698+I699</f>
        <v>0.9999999999999999</v>
      </c>
    </row>
    <row r="701" spans="1:9" ht="12.75" customHeight="1">
      <c r="A701" s="40"/>
      <c r="B701" s="40"/>
      <c r="C701" s="40"/>
      <c r="D701" s="40"/>
      <c r="E701" s="40"/>
      <c r="F701" s="40"/>
      <c r="G701" s="40"/>
      <c r="H701" s="40"/>
      <c r="I701" s="135"/>
    </row>
    <row r="702" spans="1:9" ht="18.75" customHeight="1">
      <c r="A702" s="486" t="s">
        <v>871</v>
      </c>
      <c r="B702" s="486"/>
      <c r="C702" s="486"/>
      <c r="D702" s="486"/>
      <c r="E702" s="486"/>
      <c r="F702" s="486"/>
      <c r="G702" s="486"/>
      <c r="H702" s="486"/>
      <c r="I702" s="486"/>
    </row>
    <row r="703" spans="1:9" ht="18.75" customHeight="1">
      <c r="A703" s="40"/>
      <c r="B703" s="40"/>
      <c r="C703" s="40"/>
      <c r="D703" s="487" t="s">
        <v>682</v>
      </c>
      <c r="E703" s="487"/>
      <c r="F703" s="487"/>
      <c r="G703" s="40"/>
      <c r="H703" s="40"/>
      <c r="I703" s="135"/>
    </row>
    <row r="704" spans="1:9" ht="12" customHeight="1">
      <c r="A704" s="40"/>
      <c r="B704" s="40"/>
      <c r="C704" s="40"/>
      <c r="D704" s="40"/>
      <c r="E704" s="40"/>
      <c r="F704" s="40"/>
      <c r="G704" s="40"/>
      <c r="H704" s="40"/>
      <c r="I704" s="135"/>
    </row>
    <row r="705" spans="1:9" ht="18.75" customHeight="1">
      <c r="A705" s="22" t="s">
        <v>683</v>
      </c>
      <c r="B705" s="491" t="s">
        <v>688</v>
      </c>
      <c r="C705" s="492"/>
      <c r="D705" s="5" t="s">
        <v>686</v>
      </c>
      <c r="E705" s="5" t="s">
        <v>712</v>
      </c>
      <c r="F705" s="5" t="s">
        <v>686</v>
      </c>
      <c r="G705" s="192" t="s">
        <v>713</v>
      </c>
      <c r="H705" s="193"/>
      <c r="I705" s="6" t="s">
        <v>714</v>
      </c>
    </row>
    <row r="706" spans="1:9" ht="18.75" customHeight="1">
      <c r="A706" s="23" t="s">
        <v>684</v>
      </c>
      <c r="B706" s="493"/>
      <c r="C706" s="494"/>
      <c r="D706" s="7" t="s">
        <v>656</v>
      </c>
      <c r="E706" s="7" t="s">
        <v>715</v>
      </c>
      <c r="F706" s="7" t="s">
        <v>657</v>
      </c>
      <c r="G706" s="8" t="s">
        <v>706</v>
      </c>
      <c r="H706" s="9" t="s">
        <v>707</v>
      </c>
      <c r="I706" s="10" t="s">
        <v>717</v>
      </c>
    </row>
    <row r="707" spans="1:9" ht="18.75" customHeight="1">
      <c r="A707" s="63">
        <v>1</v>
      </c>
      <c r="B707" s="546">
        <v>2</v>
      </c>
      <c r="C707" s="547"/>
      <c r="D707" s="237">
        <v>3</v>
      </c>
      <c r="E707" s="215">
        <v>4</v>
      </c>
      <c r="F707" s="215">
        <v>5</v>
      </c>
      <c r="G707" s="215">
        <v>6</v>
      </c>
      <c r="H707" s="215">
        <v>7</v>
      </c>
      <c r="I707" s="63">
        <v>8</v>
      </c>
    </row>
    <row r="708" spans="1:9" ht="18.75" customHeight="1">
      <c r="A708" s="24">
        <v>16019</v>
      </c>
      <c r="B708" s="483" t="s">
        <v>145</v>
      </c>
      <c r="C708" s="484"/>
      <c r="D708" s="238">
        <v>0</v>
      </c>
      <c r="E708" s="25">
        <v>0</v>
      </c>
      <c r="F708" s="25">
        <v>0</v>
      </c>
      <c r="G708" s="15" t="e">
        <f aca="true" t="shared" si="31" ref="G708:G733">F708/D708</f>
        <v>#DIV/0!</v>
      </c>
      <c r="H708" s="16" t="e">
        <f aca="true" t="shared" si="32" ref="H708:H733">F708/E708</f>
        <v>#DIV/0!</v>
      </c>
      <c r="I708" s="16">
        <f>F708/F733</f>
        <v>0</v>
      </c>
    </row>
    <row r="709" spans="1:9" ht="18.75" customHeight="1">
      <c r="A709" s="24">
        <v>16319</v>
      </c>
      <c r="B709" s="483" t="s">
        <v>72</v>
      </c>
      <c r="C709" s="484"/>
      <c r="D709" s="238">
        <v>63307.72</v>
      </c>
      <c r="E709" s="25">
        <v>130000</v>
      </c>
      <c r="F709" s="25">
        <v>48910.51</v>
      </c>
      <c r="G709" s="15">
        <f t="shared" si="31"/>
        <v>0.7725836596231865</v>
      </c>
      <c r="H709" s="16">
        <f t="shared" si="32"/>
        <v>0.3762346923076923</v>
      </c>
      <c r="I709" s="16">
        <f>F709/F733</f>
        <v>0.1786544396370712</v>
      </c>
    </row>
    <row r="710" spans="1:9" ht="18.75" customHeight="1">
      <c r="A710" s="24">
        <v>16637</v>
      </c>
      <c r="B710" s="483" t="s">
        <v>73</v>
      </c>
      <c r="C710" s="484"/>
      <c r="D710" s="238">
        <v>0</v>
      </c>
      <c r="E710" s="25">
        <v>0</v>
      </c>
      <c r="F710" s="25">
        <v>0</v>
      </c>
      <c r="G710" s="15" t="e">
        <f t="shared" si="31"/>
        <v>#DIV/0!</v>
      </c>
      <c r="H710" s="16" t="e">
        <f t="shared" si="32"/>
        <v>#DIV/0!</v>
      </c>
      <c r="I710" s="16">
        <f>F710/F733</f>
        <v>0</v>
      </c>
    </row>
    <row r="711" spans="1:9" ht="18.75" customHeight="1">
      <c r="A711" s="24">
        <v>16795</v>
      </c>
      <c r="B711" s="483" t="s">
        <v>74</v>
      </c>
      <c r="C711" s="484"/>
      <c r="D711" s="238">
        <v>0</v>
      </c>
      <c r="E711" s="25">
        <v>0</v>
      </c>
      <c r="F711" s="25">
        <v>0</v>
      </c>
      <c r="G711" s="15" t="e">
        <f t="shared" si="31"/>
        <v>#DIV/0!</v>
      </c>
      <c r="H711" s="16" t="e">
        <f t="shared" si="32"/>
        <v>#DIV/0!</v>
      </c>
      <c r="I711" s="16">
        <f>F711/F733</f>
        <v>0</v>
      </c>
    </row>
    <row r="712" spans="1:9" ht="18.75" customHeight="1">
      <c r="A712" s="24">
        <v>16919</v>
      </c>
      <c r="B712" s="483" t="s">
        <v>75</v>
      </c>
      <c r="C712" s="484"/>
      <c r="D712" s="238">
        <v>0</v>
      </c>
      <c r="E712" s="25">
        <v>0</v>
      </c>
      <c r="F712" s="25">
        <v>0</v>
      </c>
      <c r="G712" s="15" t="e">
        <f t="shared" si="31"/>
        <v>#DIV/0!</v>
      </c>
      <c r="H712" s="16" t="e">
        <f t="shared" si="32"/>
        <v>#DIV/0!</v>
      </c>
      <c r="I712" s="16">
        <f>F712/F733</f>
        <v>0</v>
      </c>
    </row>
    <row r="713" spans="1:9" ht="18.75" customHeight="1">
      <c r="A713" s="24">
        <v>17519</v>
      </c>
      <c r="B713" s="483" t="s">
        <v>76</v>
      </c>
      <c r="C713" s="484"/>
      <c r="D713" s="238">
        <v>0</v>
      </c>
      <c r="E713" s="25">
        <v>0</v>
      </c>
      <c r="F713" s="25">
        <v>0</v>
      </c>
      <c r="G713" s="15" t="e">
        <f t="shared" si="31"/>
        <v>#DIV/0!</v>
      </c>
      <c r="H713" s="16" t="e">
        <f t="shared" si="32"/>
        <v>#DIV/0!</v>
      </c>
      <c r="I713" s="16">
        <f>F713/F733</f>
        <v>0</v>
      </c>
    </row>
    <row r="714" spans="1:9" ht="18.75" customHeight="1">
      <c r="A714" s="24">
        <v>18019</v>
      </c>
      <c r="B714" s="483" t="s">
        <v>77</v>
      </c>
      <c r="C714" s="484"/>
      <c r="D714" s="238">
        <v>41863.02</v>
      </c>
      <c r="E714" s="25">
        <v>100000</v>
      </c>
      <c r="F714" s="25">
        <v>66145.75</v>
      </c>
      <c r="G714" s="15">
        <f t="shared" si="31"/>
        <v>1.580052036379602</v>
      </c>
      <c r="H714" s="16">
        <f t="shared" si="32"/>
        <v>0.6614575</v>
      </c>
      <c r="I714" s="16">
        <f>F714/F733</f>
        <v>0.24160925536502895</v>
      </c>
    </row>
    <row r="715" spans="1:9" ht="18.75" customHeight="1">
      <c r="A715" s="24">
        <v>18423</v>
      </c>
      <c r="B715" s="483" t="s">
        <v>78</v>
      </c>
      <c r="C715" s="484"/>
      <c r="D715" s="238">
        <v>5513.91</v>
      </c>
      <c r="E715" s="25">
        <v>11000</v>
      </c>
      <c r="F715" s="25">
        <v>6789.39</v>
      </c>
      <c r="G715" s="15">
        <f t="shared" si="31"/>
        <v>1.2313204241636153</v>
      </c>
      <c r="H715" s="16">
        <f t="shared" si="32"/>
        <v>0.6172172727272728</v>
      </c>
      <c r="I715" s="16">
        <f>F715/F733</f>
        <v>0.02479946878344828</v>
      </c>
    </row>
    <row r="716" spans="1:9" ht="18.75" customHeight="1">
      <c r="A716" s="24">
        <v>19595</v>
      </c>
      <c r="B716" s="483" t="s">
        <v>79</v>
      </c>
      <c r="C716" s="484"/>
      <c r="D716" s="238">
        <v>0</v>
      </c>
      <c r="E716" s="25">
        <v>2000</v>
      </c>
      <c r="F716" s="25">
        <v>19.46</v>
      </c>
      <c r="G716" s="15" t="e">
        <f t="shared" si="31"/>
        <v>#DIV/0!</v>
      </c>
      <c r="H716" s="16">
        <f t="shared" si="32"/>
        <v>0.00973</v>
      </c>
      <c r="I716" s="16">
        <f>F716/F733</f>
        <v>7.108115199243283E-05</v>
      </c>
    </row>
    <row r="717" spans="1:9" ht="18.75" customHeight="1">
      <c r="A717" s="24">
        <v>47019</v>
      </c>
      <c r="B717" s="483" t="s">
        <v>80</v>
      </c>
      <c r="C717" s="484"/>
      <c r="D717" s="238">
        <v>0</v>
      </c>
      <c r="E717" s="25">
        <v>2000</v>
      </c>
      <c r="F717" s="25">
        <v>0</v>
      </c>
      <c r="G717" s="15" t="e">
        <f t="shared" si="31"/>
        <v>#DIV/0!</v>
      </c>
      <c r="H717" s="16">
        <f t="shared" si="32"/>
        <v>0</v>
      </c>
      <c r="I717" s="16">
        <f>F717/F733</f>
        <v>0</v>
      </c>
    </row>
    <row r="718" spans="1:9" ht="18.75" customHeight="1">
      <c r="A718" s="24">
        <v>48019</v>
      </c>
      <c r="B718" s="483" t="s">
        <v>81</v>
      </c>
      <c r="C718" s="484"/>
      <c r="D718" s="238">
        <v>0</v>
      </c>
      <c r="E718" s="25">
        <v>0</v>
      </c>
      <c r="F718" s="25">
        <v>0</v>
      </c>
      <c r="G718" s="15" t="e">
        <f t="shared" si="31"/>
        <v>#DIV/0!</v>
      </c>
      <c r="H718" s="16" t="e">
        <f t="shared" si="32"/>
        <v>#DIV/0!</v>
      </c>
      <c r="I718" s="16">
        <f>F718/F733</f>
        <v>0</v>
      </c>
    </row>
    <row r="719" spans="1:9" ht="18.75" customHeight="1">
      <c r="A719" s="24">
        <v>65095</v>
      </c>
      <c r="B719" s="483" t="s">
        <v>82</v>
      </c>
      <c r="C719" s="484"/>
      <c r="D719" s="238">
        <v>0</v>
      </c>
      <c r="E719" s="25">
        <v>0</v>
      </c>
      <c r="F719" s="25">
        <v>0</v>
      </c>
      <c r="G719" s="15" t="e">
        <f t="shared" si="31"/>
        <v>#DIV/0!</v>
      </c>
      <c r="H719" s="16" t="e">
        <f t="shared" si="32"/>
        <v>#DIV/0!</v>
      </c>
      <c r="I719" s="16">
        <f>F719/F733</f>
        <v>0</v>
      </c>
    </row>
    <row r="720" spans="1:9" ht="18.75" customHeight="1">
      <c r="A720" s="24">
        <v>65495</v>
      </c>
      <c r="B720" s="483" t="s">
        <v>910</v>
      </c>
      <c r="C720" s="484"/>
      <c r="D720" s="238">
        <v>0</v>
      </c>
      <c r="E720" s="25">
        <v>0</v>
      </c>
      <c r="F720" s="25">
        <v>0</v>
      </c>
      <c r="G720" s="15" t="e">
        <f t="shared" si="31"/>
        <v>#DIV/0!</v>
      </c>
      <c r="H720" s="16" t="e">
        <f t="shared" si="32"/>
        <v>#DIV/0!</v>
      </c>
      <c r="I720" s="16">
        <f>F720/F733</f>
        <v>0</v>
      </c>
    </row>
    <row r="721" spans="1:9" ht="18.75" customHeight="1">
      <c r="A721" s="24">
        <v>66400</v>
      </c>
      <c r="B721" s="483" t="s">
        <v>84</v>
      </c>
      <c r="C721" s="484"/>
      <c r="D721" s="238">
        <v>0</v>
      </c>
      <c r="E721" s="83">
        <v>0</v>
      </c>
      <c r="F721" s="25">
        <v>0</v>
      </c>
      <c r="G721" s="15" t="e">
        <f t="shared" si="31"/>
        <v>#DIV/0!</v>
      </c>
      <c r="H721" s="16" t="e">
        <f t="shared" si="32"/>
        <v>#DIV/0!</v>
      </c>
      <c r="I721" s="16">
        <f>F721/F733</f>
        <v>0</v>
      </c>
    </row>
    <row r="722" spans="1:9" ht="19.5" customHeight="1">
      <c r="A722" s="35"/>
      <c r="B722" s="530" t="s">
        <v>85</v>
      </c>
      <c r="C722" s="531"/>
      <c r="D722" s="84">
        <f>D723+D724+D725</f>
        <v>68575.88</v>
      </c>
      <c r="E722" s="84">
        <f>E723+E724+E725</f>
        <v>109500</v>
      </c>
      <c r="F722" s="85">
        <f>F723+F724+F725</f>
        <v>58244.899999999994</v>
      </c>
      <c r="G722" s="20">
        <f t="shared" si="31"/>
        <v>0.8493496547182477</v>
      </c>
      <c r="H722" s="21">
        <f t="shared" si="32"/>
        <v>0.5319168949771689</v>
      </c>
      <c r="I722" s="21">
        <f>F722/F733</f>
        <v>0.21274997891490494</v>
      </c>
    </row>
    <row r="723" spans="1:9" ht="18.75" customHeight="1">
      <c r="A723" s="24">
        <v>73028</v>
      </c>
      <c r="B723" s="483" t="s">
        <v>86</v>
      </c>
      <c r="C723" s="484"/>
      <c r="D723" s="239">
        <v>0</v>
      </c>
      <c r="E723" s="25">
        <v>840</v>
      </c>
      <c r="F723" s="25">
        <v>0</v>
      </c>
      <c r="G723" s="15" t="e">
        <f t="shared" si="31"/>
        <v>#DIV/0!</v>
      </c>
      <c r="H723" s="16">
        <f t="shared" si="32"/>
        <v>0</v>
      </c>
      <c r="I723" s="16">
        <f>F723/F722</f>
        <v>0</v>
      </c>
    </row>
    <row r="724" spans="1:9" ht="18.75" customHeight="1">
      <c r="A724" s="24">
        <v>74100</v>
      </c>
      <c r="B724" s="483" t="s">
        <v>87</v>
      </c>
      <c r="C724" s="484"/>
      <c r="D724" s="239">
        <v>65381.85</v>
      </c>
      <c r="E724" s="25">
        <v>99660</v>
      </c>
      <c r="F724" s="25">
        <v>54540.13</v>
      </c>
      <c r="G724" s="15">
        <f t="shared" si="31"/>
        <v>0.834178445547197</v>
      </c>
      <c r="H724" s="16">
        <f t="shared" si="32"/>
        <v>0.5472619907686133</v>
      </c>
      <c r="I724" s="16">
        <f>F724/F722</f>
        <v>0.9363932292784433</v>
      </c>
    </row>
    <row r="725" spans="1:9" ht="18.75" customHeight="1">
      <c r="A725" s="24">
        <v>75590</v>
      </c>
      <c r="B725" s="483" t="s">
        <v>88</v>
      </c>
      <c r="C725" s="484"/>
      <c r="D725" s="239">
        <v>3194.03</v>
      </c>
      <c r="E725" s="25">
        <v>9000</v>
      </c>
      <c r="F725" s="25">
        <v>3704.77</v>
      </c>
      <c r="G725" s="15">
        <f t="shared" si="31"/>
        <v>1.159904571967076</v>
      </c>
      <c r="H725" s="16">
        <f t="shared" si="32"/>
        <v>0.4116411111111111</v>
      </c>
      <c r="I725" s="16">
        <f>F725/F722</f>
        <v>0.06360677072155674</v>
      </c>
    </row>
    <row r="726" spans="1:9" ht="18.75" customHeight="1">
      <c r="A726" s="24">
        <v>76095</v>
      </c>
      <c r="B726" s="483" t="s">
        <v>89</v>
      </c>
      <c r="C726" s="484"/>
      <c r="D726" s="239">
        <v>0</v>
      </c>
      <c r="E726" s="25">
        <v>0</v>
      </c>
      <c r="F726" s="25">
        <v>0</v>
      </c>
      <c r="G726" s="15" t="e">
        <f t="shared" si="31"/>
        <v>#DIV/0!</v>
      </c>
      <c r="H726" s="16" t="e">
        <f t="shared" si="32"/>
        <v>#DIV/0!</v>
      </c>
      <c r="I726" s="16">
        <f>E726/E722</f>
        <v>0</v>
      </c>
    </row>
    <row r="727" spans="1:9" ht="18.75" customHeight="1">
      <c r="A727" s="24">
        <v>85019</v>
      </c>
      <c r="B727" s="483" t="s">
        <v>90</v>
      </c>
      <c r="C727" s="484"/>
      <c r="D727" s="239">
        <v>21574.28</v>
      </c>
      <c r="E727" s="25">
        <v>48300</v>
      </c>
      <c r="F727" s="25">
        <v>38916.42</v>
      </c>
      <c r="G727" s="15">
        <f t="shared" si="31"/>
        <v>1.8038340097560615</v>
      </c>
      <c r="H727" s="16">
        <f t="shared" si="32"/>
        <v>0.8057229813664596</v>
      </c>
      <c r="I727" s="16">
        <f>F727/F733</f>
        <v>0.1421492273906142</v>
      </c>
    </row>
    <row r="728" spans="1:9" ht="19.5" customHeight="1">
      <c r="A728" s="35"/>
      <c r="B728" s="530" t="s">
        <v>91</v>
      </c>
      <c r="C728" s="531"/>
      <c r="D728" s="240">
        <f>D729+D730+D731+D732</f>
        <v>59223.15</v>
      </c>
      <c r="E728" s="36">
        <f>E729+E730+E731+E732</f>
        <v>130000</v>
      </c>
      <c r="F728" s="36">
        <f>F729+F730+F731+F732</f>
        <v>54745.16</v>
      </c>
      <c r="G728" s="20">
        <f t="shared" si="31"/>
        <v>0.9243878449558999</v>
      </c>
      <c r="H728" s="21">
        <f t="shared" si="32"/>
        <v>0.4211166153846154</v>
      </c>
      <c r="I728" s="21">
        <f>F728/F733</f>
        <v>0.1999665487569401</v>
      </c>
    </row>
    <row r="729" spans="1:9" ht="18.75" customHeight="1">
      <c r="A729" s="24">
        <v>92095</v>
      </c>
      <c r="B729" s="483" t="s">
        <v>86</v>
      </c>
      <c r="C729" s="484"/>
      <c r="D729" s="400">
        <v>2970.63</v>
      </c>
      <c r="E729" s="86">
        <v>6000</v>
      </c>
      <c r="F729" s="25">
        <v>1772.7</v>
      </c>
      <c r="G729" s="15">
        <f t="shared" si="31"/>
        <v>0.5967421052100059</v>
      </c>
      <c r="H729" s="16">
        <f t="shared" si="32"/>
        <v>0.29545</v>
      </c>
      <c r="I729" s="16">
        <f>F729/F728</f>
        <v>0.03238094472643792</v>
      </c>
    </row>
    <row r="730" spans="1:9" ht="18.75" customHeight="1">
      <c r="A730" s="24">
        <v>92570</v>
      </c>
      <c r="B730" s="483" t="s">
        <v>92</v>
      </c>
      <c r="C730" s="484"/>
      <c r="D730" s="400">
        <v>8959.68</v>
      </c>
      <c r="E730" s="86">
        <v>11000</v>
      </c>
      <c r="F730" s="25">
        <v>6187.14</v>
      </c>
      <c r="G730" s="15">
        <f t="shared" si="31"/>
        <v>0.6905536804885889</v>
      </c>
      <c r="H730" s="16">
        <f t="shared" si="32"/>
        <v>0.5624672727272727</v>
      </c>
      <c r="I730" s="16">
        <f>F730/F728</f>
        <v>0.11301711420699108</v>
      </c>
    </row>
    <row r="731" spans="1:9" ht="18.75" customHeight="1">
      <c r="A731" s="24">
        <v>93540</v>
      </c>
      <c r="B731" s="483" t="s">
        <v>93</v>
      </c>
      <c r="C731" s="484"/>
      <c r="D731" s="400">
        <v>34021.71</v>
      </c>
      <c r="E731" s="86">
        <v>76298</v>
      </c>
      <c r="F731" s="25">
        <v>32552.46</v>
      </c>
      <c r="G731" s="15">
        <f t="shared" si="31"/>
        <v>0.9568143400199461</v>
      </c>
      <c r="H731" s="16">
        <f t="shared" si="32"/>
        <v>0.42664892919866837</v>
      </c>
      <c r="I731" s="16">
        <f>F731/F728</f>
        <v>0.5946180447732731</v>
      </c>
    </row>
    <row r="732" spans="1:9" ht="18.75" customHeight="1">
      <c r="A732" s="24">
        <v>94740</v>
      </c>
      <c r="B732" s="483" t="s">
        <v>554</v>
      </c>
      <c r="C732" s="484"/>
      <c r="D732" s="400">
        <v>13271.13</v>
      </c>
      <c r="E732" s="86">
        <v>36702</v>
      </c>
      <c r="F732" s="25">
        <v>14232.86</v>
      </c>
      <c r="G732" s="15">
        <f t="shared" si="31"/>
        <v>1.072467830546457</v>
      </c>
      <c r="H732" s="16">
        <f t="shared" si="32"/>
        <v>0.38779521551959023</v>
      </c>
      <c r="I732" s="16">
        <f>F732/F728</f>
        <v>0.2599838962932979</v>
      </c>
    </row>
    <row r="733" spans="1:9" ht="24.75" customHeight="1">
      <c r="A733" s="182"/>
      <c r="B733" s="495" t="s">
        <v>95</v>
      </c>
      <c r="C733" s="496"/>
      <c r="D733" s="270">
        <f>D709+D710+D711+D712+D713+D714+D715+D716+D717+D718+D719+D720+D721+D722+D727++D728</f>
        <v>260057.96</v>
      </c>
      <c r="E733" s="211">
        <f>E709+E710+E711+E712+E713+E714+E715+E716+E717+E718+E719+E720+E721+E722+E727++E728</f>
        <v>532800</v>
      </c>
      <c r="F733" s="211">
        <f>F708+F709+F710+F711+F712+F713+F714+F715+F716+F717+F718+F719+F720+F721+F722+F726+F727+F728</f>
        <v>273771.58999999997</v>
      </c>
      <c r="G733" s="212">
        <f t="shared" si="31"/>
        <v>1.0527329753721055</v>
      </c>
      <c r="H733" s="213">
        <f t="shared" si="32"/>
        <v>0.5138355668168167</v>
      </c>
      <c r="I733" s="266">
        <f>SUM(I708+I709+I710+I711+I712+I713+I714+I715+I716+I717+I718+I719+I721+I722+I727+I728)</f>
        <v>1</v>
      </c>
    </row>
    <row r="734" spans="1:8" ht="12.75" customHeight="1">
      <c r="A734" s="87"/>
      <c r="B734" s="88"/>
      <c r="C734" s="89"/>
      <c r="D734" s="89"/>
      <c r="E734" s="89"/>
      <c r="F734" s="90"/>
      <c r="G734" s="91"/>
      <c r="H734" s="92"/>
    </row>
    <row r="735" spans="1:9" ht="17.25" customHeight="1">
      <c r="A735" s="503" t="s">
        <v>8</v>
      </c>
      <c r="B735" s="503"/>
      <c r="C735" s="503"/>
      <c r="D735" s="503"/>
      <c r="E735" s="503"/>
      <c r="F735" s="503"/>
      <c r="G735" s="503"/>
      <c r="H735" s="503"/>
      <c r="I735" s="503"/>
    </row>
    <row r="736" spans="1:9" ht="19.5" customHeight="1">
      <c r="A736" s="503" t="s">
        <v>2</v>
      </c>
      <c r="B736" s="503"/>
      <c r="C736" s="503"/>
      <c r="D736" s="503"/>
      <c r="E736" s="503"/>
      <c r="F736" s="503"/>
      <c r="G736" s="503"/>
      <c r="H736" s="503"/>
      <c r="I736" s="503"/>
    </row>
    <row r="737" spans="1:9" ht="19.5" customHeight="1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20.25" customHeight="1">
      <c r="A738" s="40"/>
      <c r="B738" s="40"/>
      <c r="C738" s="40"/>
      <c r="D738" s="40"/>
      <c r="E738" s="40"/>
      <c r="F738" s="40"/>
      <c r="G738" s="40"/>
      <c r="H738" s="40"/>
      <c r="I738" s="135"/>
    </row>
    <row r="739" spans="1:9" ht="30" customHeight="1">
      <c r="A739" s="40"/>
      <c r="B739" s="633" t="s">
        <v>266</v>
      </c>
      <c r="C739" s="633"/>
      <c r="D739" s="633"/>
      <c r="E739" s="633"/>
      <c r="F739" s="40"/>
      <c r="G739" s="40"/>
      <c r="H739" s="2"/>
      <c r="I739" s="135"/>
    </row>
    <row r="740" spans="1:9" ht="21" customHeight="1">
      <c r="A740" s="40"/>
      <c r="B740" s="476"/>
      <c r="C740" s="476"/>
      <c r="D740" s="476"/>
      <c r="E740" s="476"/>
      <c r="F740" s="40"/>
      <c r="G740" s="40"/>
      <c r="H740" s="2"/>
      <c r="I740" s="135"/>
    </row>
    <row r="741" spans="1:9" ht="20.25" customHeight="1">
      <c r="A741" s="39"/>
      <c r="B741" s="39"/>
      <c r="C741" s="39"/>
      <c r="D741" s="39"/>
      <c r="E741" s="39"/>
      <c r="F741" s="39"/>
      <c r="G741" s="39"/>
      <c r="H741" s="39"/>
      <c r="I741" s="138"/>
    </row>
    <row r="742" spans="1:9" ht="20.25" customHeight="1">
      <c r="A742" s="486" t="s">
        <v>0</v>
      </c>
      <c r="B742" s="486"/>
      <c r="C742" s="486"/>
      <c r="D742" s="486"/>
      <c r="E742" s="486"/>
      <c r="F742" s="486"/>
      <c r="G742" s="486"/>
      <c r="H742" s="486"/>
      <c r="I742" s="486"/>
    </row>
    <row r="743" spans="1:9" ht="20.25" customHeight="1">
      <c r="A743" s="486" t="s">
        <v>616</v>
      </c>
      <c r="B743" s="486"/>
      <c r="C743" s="486"/>
      <c r="D743" s="486"/>
      <c r="E743" s="486"/>
      <c r="F743" s="486"/>
      <c r="G743" s="486"/>
      <c r="H743" s="486"/>
      <c r="I743" s="486"/>
    </row>
    <row r="744" spans="1:9" ht="20.25" customHeight="1">
      <c r="A744" s="486" t="s">
        <v>1</v>
      </c>
      <c r="B744" s="486"/>
      <c r="C744" s="486"/>
      <c r="D744" s="486"/>
      <c r="E744" s="486"/>
      <c r="F744" s="486"/>
      <c r="G744" s="486"/>
      <c r="H744" s="486"/>
      <c r="I744" s="486"/>
    </row>
    <row r="745" spans="1:9" ht="20.25" customHeight="1">
      <c r="A745" s="40"/>
      <c r="B745" s="40"/>
      <c r="C745" s="40"/>
      <c r="D745" s="487" t="s">
        <v>682</v>
      </c>
      <c r="E745" s="487"/>
      <c r="F745" s="487"/>
      <c r="G745" s="40"/>
      <c r="H745" s="40"/>
      <c r="I745" s="135"/>
    </row>
    <row r="746" spans="1:9" ht="8.25" customHeight="1">
      <c r="A746" s="40"/>
      <c r="B746" s="40"/>
      <c r="C746" s="40"/>
      <c r="D746" s="41"/>
      <c r="E746" s="41"/>
      <c r="F746" s="41"/>
      <c r="G746" s="40"/>
      <c r="H746" s="40"/>
      <c r="I746" s="135"/>
    </row>
    <row r="747" spans="1:9" ht="20.25" customHeight="1">
      <c r="A747" s="489" t="s">
        <v>710</v>
      </c>
      <c r="B747" s="491" t="s">
        <v>711</v>
      </c>
      <c r="C747" s="492"/>
      <c r="D747" s="5" t="s">
        <v>686</v>
      </c>
      <c r="E747" s="5" t="s">
        <v>712</v>
      </c>
      <c r="F747" s="5" t="s">
        <v>686</v>
      </c>
      <c r="G747" s="510" t="s">
        <v>713</v>
      </c>
      <c r="H747" s="511"/>
      <c r="I747" s="6" t="s">
        <v>714</v>
      </c>
    </row>
    <row r="748" spans="1:9" ht="20.25" customHeight="1">
      <c r="A748" s="490"/>
      <c r="B748" s="493"/>
      <c r="C748" s="494"/>
      <c r="D748" s="7" t="s">
        <v>656</v>
      </c>
      <c r="E748" s="7" t="s">
        <v>715</v>
      </c>
      <c r="F748" s="7" t="s">
        <v>657</v>
      </c>
      <c r="G748" s="8" t="s">
        <v>706</v>
      </c>
      <c r="H748" s="9" t="s">
        <v>707</v>
      </c>
      <c r="I748" s="10" t="s">
        <v>717</v>
      </c>
    </row>
    <row r="749" spans="1:9" ht="20.25" customHeight="1">
      <c r="A749" s="11">
        <v>1</v>
      </c>
      <c r="B749" s="307">
        <v>2</v>
      </c>
      <c r="C749" s="308"/>
      <c r="D749" s="12">
        <v>3</v>
      </c>
      <c r="E749" s="12">
        <v>4</v>
      </c>
      <c r="F749" s="12">
        <v>5</v>
      </c>
      <c r="G749" s="12">
        <v>6</v>
      </c>
      <c r="H749" s="12">
        <v>7</v>
      </c>
      <c r="I749" s="13">
        <v>8</v>
      </c>
    </row>
    <row r="750" spans="1:9" ht="20.25" customHeight="1">
      <c r="A750" s="4">
        <v>10</v>
      </c>
      <c r="B750" s="504" t="s">
        <v>547</v>
      </c>
      <c r="C750" s="505"/>
      <c r="D750" s="402">
        <v>0</v>
      </c>
      <c r="E750" s="25">
        <v>0</v>
      </c>
      <c r="F750" s="402">
        <v>70000</v>
      </c>
      <c r="G750" s="15" t="e">
        <f aca="true" t="shared" si="33" ref="G750:G755">F750/D750</f>
        <v>#DIV/0!</v>
      </c>
      <c r="H750" s="16" t="e">
        <f aca="true" t="shared" si="34" ref="H750:H755">F750/E750</f>
        <v>#DIV/0!</v>
      </c>
      <c r="I750" s="16">
        <f>F750/F755</f>
        <v>0.23894681528612416</v>
      </c>
    </row>
    <row r="751" spans="1:9" ht="20.25" customHeight="1">
      <c r="A751" s="4">
        <v>21</v>
      </c>
      <c r="B751" s="504" t="s">
        <v>719</v>
      </c>
      <c r="C751" s="505"/>
      <c r="D751" s="402">
        <v>157318</v>
      </c>
      <c r="E751" s="25">
        <v>284000</v>
      </c>
      <c r="F751" s="402">
        <v>203252.22</v>
      </c>
      <c r="G751" s="15">
        <f t="shared" si="33"/>
        <v>1.2919832441297245</v>
      </c>
      <c r="H751" s="16">
        <f t="shared" si="34"/>
        <v>0.7156768309859155</v>
      </c>
      <c r="I751" s="16">
        <f>F751/F755</f>
        <v>0.6938067238404952</v>
      </c>
    </row>
    <row r="752" spans="1:9" ht="20.25" customHeight="1">
      <c r="A752" s="4">
        <v>22</v>
      </c>
      <c r="B752" s="504" t="s">
        <v>720</v>
      </c>
      <c r="C752" s="505"/>
      <c r="D752" s="402">
        <v>0</v>
      </c>
      <c r="E752" s="25">
        <v>0</v>
      </c>
      <c r="F752" s="402">
        <v>19700</v>
      </c>
      <c r="G752" s="15" t="e">
        <f t="shared" si="33"/>
        <v>#DIV/0!</v>
      </c>
      <c r="H752" s="16" t="e">
        <f t="shared" si="34"/>
        <v>#DIV/0!</v>
      </c>
      <c r="I752" s="16">
        <f>F752/F755</f>
        <v>0.06724646087338065</v>
      </c>
    </row>
    <row r="753" spans="1:9" ht="20.25" customHeight="1">
      <c r="A753" s="4">
        <v>31</v>
      </c>
      <c r="B753" s="504" t="s">
        <v>267</v>
      </c>
      <c r="C753" s="505"/>
      <c r="D753" s="402">
        <v>0</v>
      </c>
      <c r="E753" s="25">
        <v>0</v>
      </c>
      <c r="F753" s="402">
        <v>0</v>
      </c>
      <c r="G753" s="15" t="e">
        <f t="shared" si="33"/>
        <v>#DIV/0!</v>
      </c>
      <c r="H753" s="16" t="e">
        <f t="shared" si="34"/>
        <v>#DIV/0!</v>
      </c>
      <c r="I753" s="16">
        <f>F753/F755</f>
        <v>0</v>
      </c>
    </row>
    <row r="754" spans="1:9" ht="20.25" customHeight="1">
      <c r="A754" s="4"/>
      <c r="B754" s="504" t="s">
        <v>548</v>
      </c>
      <c r="C754" s="505"/>
      <c r="D754" s="402">
        <v>1000</v>
      </c>
      <c r="E754" s="25">
        <v>0</v>
      </c>
      <c r="F754" s="402">
        <v>0</v>
      </c>
      <c r="G754" s="15">
        <f t="shared" si="33"/>
        <v>0</v>
      </c>
      <c r="H754" s="16" t="e">
        <f t="shared" si="34"/>
        <v>#DIV/0!</v>
      </c>
      <c r="I754" s="16">
        <f>F754/F755</f>
        <v>0</v>
      </c>
    </row>
    <row r="755" spans="1:9" ht="25.5" customHeight="1">
      <c r="A755" s="210"/>
      <c r="B755" s="548" t="s">
        <v>69</v>
      </c>
      <c r="C755" s="549"/>
      <c r="D755" s="211">
        <f>SUM(D750:D754)</f>
        <v>158318</v>
      </c>
      <c r="E755" s="211">
        <f>SUM(E750:E754)</f>
        <v>284000</v>
      </c>
      <c r="F755" s="211">
        <f>SUM(F750:F754)</f>
        <v>292952.22</v>
      </c>
      <c r="G755" s="212">
        <f t="shared" si="33"/>
        <v>1.8504037443626118</v>
      </c>
      <c r="H755" s="213">
        <f t="shared" si="34"/>
        <v>1.0315219014084507</v>
      </c>
      <c r="I755" s="266">
        <f>I750+I751+I752+I754</f>
        <v>1</v>
      </c>
    </row>
    <row r="756" spans="1:9" ht="25.5" customHeight="1">
      <c r="A756" s="464"/>
      <c r="B756" s="283"/>
      <c r="C756" s="283"/>
      <c r="D756" s="285"/>
      <c r="E756" s="285"/>
      <c r="F756" s="285"/>
      <c r="G756" s="286"/>
      <c r="H756" s="287"/>
      <c r="I756" s="430">
        <v>10</v>
      </c>
    </row>
    <row r="757" spans="1:9" ht="25.5" customHeight="1">
      <c r="A757" s="464"/>
      <c r="B757" s="283"/>
      <c r="C757" s="283"/>
      <c r="D757" s="285"/>
      <c r="E757" s="285"/>
      <c r="F757" s="285"/>
      <c r="G757" s="286"/>
      <c r="H757" s="287"/>
      <c r="I757" s="430"/>
    </row>
    <row r="758" ht="20.25" customHeight="1"/>
    <row r="759" spans="2:9" s="202" customFormat="1" ht="20.25" customHeight="1">
      <c r="B759" s="202" t="s">
        <v>371</v>
      </c>
      <c r="I759" s="458"/>
    </row>
    <row r="760" spans="1:9" s="202" customFormat="1" ht="20.25" customHeight="1">
      <c r="A760" s="202" t="s">
        <v>372</v>
      </c>
      <c r="I760" s="458"/>
    </row>
    <row r="761" spans="1:9" ht="20.25" customHeight="1">
      <c r="A761" s="486" t="s">
        <v>952</v>
      </c>
      <c r="B761" s="486"/>
      <c r="C761" s="486"/>
      <c r="D761" s="486"/>
      <c r="E761" s="486"/>
      <c r="F761" s="486"/>
      <c r="G761" s="486"/>
      <c r="H761" s="486"/>
      <c r="I761" s="486"/>
    </row>
    <row r="762" spans="1:9" ht="20.25" customHeight="1">
      <c r="A762" s="486" t="s">
        <v>951</v>
      </c>
      <c r="B762" s="486"/>
      <c r="C762" s="486"/>
      <c r="D762" s="486"/>
      <c r="E762" s="486"/>
      <c r="F762" s="486"/>
      <c r="G762" s="486"/>
      <c r="H762" s="486"/>
      <c r="I762" s="486"/>
    </row>
    <row r="763" spans="1:9" ht="20.25" customHeight="1">
      <c r="A763" s="40"/>
      <c r="B763" s="2"/>
      <c r="C763" s="40"/>
      <c r="D763" s="487" t="s">
        <v>682</v>
      </c>
      <c r="E763" s="487"/>
      <c r="F763" s="487"/>
      <c r="G763" s="40"/>
      <c r="H763" s="40"/>
      <c r="I763" s="135"/>
    </row>
    <row r="764" spans="1:9" ht="20.25" customHeight="1">
      <c r="A764" s="40"/>
      <c r="B764" s="2"/>
      <c r="C764" s="40"/>
      <c r="D764" s="40"/>
      <c r="E764" s="40"/>
      <c r="F764" s="40"/>
      <c r="G764" s="40"/>
      <c r="H764" s="40"/>
      <c r="I764" s="135"/>
    </row>
    <row r="765" spans="1:9" ht="20.25" customHeight="1">
      <c r="A765" s="22" t="s">
        <v>683</v>
      </c>
      <c r="B765" s="491" t="s">
        <v>688</v>
      </c>
      <c r="C765" s="492"/>
      <c r="D765" s="5" t="s">
        <v>686</v>
      </c>
      <c r="E765" s="5" t="s">
        <v>712</v>
      </c>
      <c r="F765" s="5" t="s">
        <v>686</v>
      </c>
      <c r="G765" s="510" t="s">
        <v>713</v>
      </c>
      <c r="H765" s="511"/>
      <c r="I765" s="6" t="s">
        <v>714</v>
      </c>
    </row>
    <row r="766" spans="1:9" ht="20.25" customHeight="1">
      <c r="A766" s="23" t="s">
        <v>97</v>
      </c>
      <c r="B766" s="493"/>
      <c r="C766" s="494"/>
      <c r="D766" s="7" t="s">
        <v>656</v>
      </c>
      <c r="E766" s="7" t="s">
        <v>715</v>
      </c>
      <c r="F766" s="7" t="s">
        <v>657</v>
      </c>
      <c r="G766" s="8" t="s">
        <v>706</v>
      </c>
      <c r="H766" s="9" t="s">
        <v>707</v>
      </c>
      <c r="I766" s="10" t="s">
        <v>717</v>
      </c>
    </row>
    <row r="767" spans="1:9" ht="20.25" customHeight="1">
      <c r="A767" s="13">
        <v>1</v>
      </c>
      <c r="B767" s="535">
        <v>2</v>
      </c>
      <c r="C767" s="536"/>
      <c r="D767" s="12">
        <v>3</v>
      </c>
      <c r="E767" s="12">
        <v>4</v>
      </c>
      <c r="F767" s="12">
        <v>5</v>
      </c>
      <c r="G767" s="12">
        <v>6</v>
      </c>
      <c r="H767" s="12">
        <v>7</v>
      </c>
      <c r="I767" s="13">
        <v>8</v>
      </c>
    </row>
    <row r="768" spans="1:9" ht="20.25" customHeight="1">
      <c r="A768" s="4">
        <v>21110</v>
      </c>
      <c r="B768" s="483" t="s">
        <v>268</v>
      </c>
      <c r="C768" s="484"/>
      <c r="D768" s="402">
        <v>0</v>
      </c>
      <c r="E768" s="25">
        <v>0</v>
      </c>
      <c r="F768" s="54">
        <v>0</v>
      </c>
      <c r="G768" s="16" t="e">
        <f aca="true" t="shared" si="35" ref="G768:G774">F768/D768</f>
        <v>#DIV/0!</v>
      </c>
      <c r="H768" s="16" t="e">
        <f aca="true" t="shared" si="36" ref="H768:H774">F768/E768</f>
        <v>#DIV/0!</v>
      </c>
      <c r="I768" s="16">
        <f>F768/F774</f>
        <v>0</v>
      </c>
    </row>
    <row r="769" spans="1:9" ht="20.25" customHeight="1">
      <c r="A769" s="45">
        <v>21120</v>
      </c>
      <c r="B769" s="483" t="s">
        <v>323</v>
      </c>
      <c r="C769" s="484"/>
      <c r="D769" s="402">
        <v>0</v>
      </c>
      <c r="E769" s="25">
        <v>254000</v>
      </c>
      <c r="F769" s="54">
        <v>0</v>
      </c>
      <c r="G769" s="16" t="e">
        <f t="shared" si="35"/>
        <v>#DIV/0!</v>
      </c>
      <c r="H769" s="16">
        <f t="shared" si="36"/>
        <v>0</v>
      </c>
      <c r="I769" s="16">
        <f>F769/F774</f>
        <v>0</v>
      </c>
    </row>
    <row r="770" spans="1:9" ht="20.25" customHeight="1">
      <c r="A770" s="45">
        <v>21200</v>
      </c>
      <c r="B770" s="483" t="s">
        <v>270</v>
      </c>
      <c r="C770" s="484"/>
      <c r="D770" s="402">
        <f>114142+1000</f>
        <v>115142</v>
      </c>
      <c r="E770" s="25">
        <v>0</v>
      </c>
      <c r="F770" s="54">
        <v>180825.22</v>
      </c>
      <c r="G770" s="16">
        <f t="shared" si="35"/>
        <v>1.5704540480450226</v>
      </c>
      <c r="H770" s="16" t="e">
        <f t="shared" si="36"/>
        <v>#DIV/0!</v>
      </c>
      <c r="I770" s="16">
        <f>F770/F774</f>
        <v>0.6172515777487537</v>
      </c>
    </row>
    <row r="771" spans="1:9" ht="20.25" customHeight="1">
      <c r="A771" s="45">
        <v>22100</v>
      </c>
      <c r="B771" s="483" t="s">
        <v>271</v>
      </c>
      <c r="C771" s="484"/>
      <c r="D771" s="402">
        <v>0</v>
      </c>
      <c r="E771" s="25">
        <v>0</v>
      </c>
      <c r="F771" s="54">
        <v>0</v>
      </c>
      <c r="G771" s="16" t="e">
        <f t="shared" si="35"/>
        <v>#DIV/0!</v>
      </c>
      <c r="H771" s="16" t="e">
        <f t="shared" si="36"/>
        <v>#DIV/0!</v>
      </c>
      <c r="I771" s="16">
        <f>F771/F774</f>
        <v>0</v>
      </c>
    </row>
    <row r="772" spans="1:9" ht="20.25" customHeight="1">
      <c r="A772" s="4">
        <v>22200</v>
      </c>
      <c r="B772" s="483" t="s">
        <v>272</v>
      </c>
      <c r="C772" s="484"/>
      <c r="D772" s="402">
        <f>28800+14376</f>
        <v>43176</v>
      </c>
      <c r="E772" s="25">
        <v>30000</v>
      </c>
      <c r="F772" s="54">
        <v>112127</v>
      </c>
      <c r="G772" s="16">
        <f t="shared" si="35"/>
        <v>2.596975171391514</v>
      </c>
      <c r="H772" s="16">
        <f t="shared" si="36"/>
        <v>3.7375666666666665</v>
      </c>
      <c r="I772" s="16">
        <f>F772/F774</f>
        <v>0.38274842225124633</v>
      </c>
    </row>
    <row r="773" spans="1:9" ht="20.25" customHeight="1">
      <c r="A773" s="24">
        <v>22220</v>
      </c>
      <c r="B773" s="483" t="s">
        <v>324</v>
      </c>
      <c r="C773" s="484"/>
      <c r="D773" s="402">
        <v>0</v>
      </c>
      <c r="E773" s="25">
        <v>0</v>
      </c>
      <c r="F773" s="54">
        <v>0</v>
      </c>
      <c r="G773" s="16" t="e">
        <f t="shared" si="35"/>
        <v>#DIV/0!</v>
      </c>
      <c r="H773" s="16" t="e">
        <f t="shared" si="36"/>
        <v>#DIV/0!</v>
      </c>
      <c r="I773" s="16">
        <f>F773/F774</f>
        <v>0</v>
      </c>
    </row>
    <row r="774" spans="1:9" ht="33.75" customHeight="1">
      <c r="A774" s="182"/>
      <c r="B774" s="495" t="s">
        <v>95</v>
      </c>
      <c r="C774" s="496"/>
      <c r="D774" s="211">
        <f>D768+D769+D770+D771+D772+D773</f>
        <v>158318</v>
      </c>
      <c r="E774" s="211">
        <f>E768+E769+E770+E771+E772+E773</f>
        <v>284000</v>
      </c>
      <c r="F774" s="211">
        <f>F768+F769+F770+F771+F772+F773</f>
        <v>292952.22</v>
      </c>
      <c r="G774" s="266">
        <f t="shared" si="35"/>
        <v>1.8504037443626118</v>
      </c>
      <c r="H774" s="266">
        <f t="shared" si="36"/>
        <v>1.0315219014084507</v>
      </c>
      <c r="I774" s="266">
        <f>I768+I769+I770+I771+I772+I773</f>
        <v>1</v>
      </c>
    </row>
    <row r="775" spans="1:9" ht="20.25" customHeight="1">
      <c r="A775" s="40"/>
      <c r="B775" s="40"/>
      <c r="C775" s="40"/>
      <c r="D775" s="40"/>
      <c r="E775" s="40"/>
      <c r="F775" s="40"/>
      <c r="G775" s="40"/>
      <c r="H775" s="40"/>
      <c r="I775" s="135"/>
    </row>
    <row r="776" spans="1:9" ht="20.25" customHeight="1">
      <c r="A776" s="486" t="s">
        <v>5</v>
      </c>
      <c r="B776" s="486"/>
      <c r="C776" s="486"/>
      <c r="D776" s="486"/>
      <c r="E776" s="486"/>
      <c r="F776" s="486"/>
      <c r="G776" s="486"/>
      <c r="H776" s="486"/>
      <c r="I776" s="486"/>
    </row>
    <row r="777" spans="1:9" ht="20.25" customHeight="1">
      <c r="A777" s="486" t="s">
        <v>3</v>
      </c>
      <c r="B777" s="486"/>
      <c r="C777" s="486"/>
      <c r="D777" s="486"/>
      <c r="E777" s="486"/>
      <c r="F777" s="486"/>
      <c r="G777" s="486"/>
      <c r="H777" s="486"/>
      <c r="I777" s="486"/>
    </row>
    <row r="778" spans="1:9" ht="20.25" customHeight="1">
      <c r="A778" s="486" t="s">
        <v>6</v>
      </c>
      <c r="B778" s="486"/>
      <c r="C778" s="486"/>
      <c r="D778" s="486"/>
      <c r="E778" s="486"/>
      <c r="F778" s="486"/>
      <c r="G778" s="486"/>
      <c r="H778" s="486"/>
      <c r="I778" s="486"/>
    </row>
    <row r="779" spans="1:9" ht="20.25" customHeight="1">
      <c r="A779" s="486" t="s">
        <v>954</v>
      </c>
      <c r="B779" s="486"/>
      <c r="C779" s="486"/>
      <c r="D779" s="486"/>
      <c r="E779" s="486"/>
      <c r="F779" s="486"/>
      <c r="G779" s="486"/>
      <c r="H779" s="486"/>
      <c r="I779" s="486"/>
    </row>
    <row r="780" spans="1:9" ht="20.25" customHeight="1">
      <c r="A780" s="486" t="s">
        <v>7</v>
      </c>
      <c r="B780" s="486"/>
      <c r="C780" s="486"/>
      <c r="D780" s="486"/>
      <c r="E780" s="486"/>
      <c r="F780" s="486"/>
      <c r="G780" s="486"/>
      <c r="H780" s="486"/>
      <c r="I780" s="486"/>
    </row>
    <row r="781" spans="1:9" ht="20.25" customHeight="1">
      <c r="A781" s="486" t="s">
        <v>953</v>
      </c>
      <c r="B781" s="486"/>
      <c r="C781" s="486"/>
      <c r="D781" s="486"/>
      <c r="E781" s="486"/>
      <c r="F781" s="486"/>
      <c r="G781" s="486"/>
      <c r="H781" s="486"/>
      <c r="I781" s="486"/>
    </row>
    <row r="782" spans="1:9" ht="20.25" customHeight="1">
      <c r="A782" s="39"/>
      <c r="B782" s="39"/>
      <c r="C782" s="39"/>
      <c r="D782" s="39"/>
      <c r="E782" s="39"/>
      <c r="F782" s="39"/>
      <c r="G782" s="39"/>
      <c r="H782" s="39"/>
      <c r="I782" s="138"/>
    </row>
    <row r="783" spans="1:9" ht="20.25" customHeight="1">
      <c r="A783" s="40"/>
      <c r="B783" s="40"/>
      <c r="C783" s="40"/>
      <c r="D783" s="487" t="s">
        <v>682</v>
      </c>
      <c r="E783" s="487"/>
      <c r="F783" s="487"/>
      <c r="G783" s="40"/>
      <c r="H783" s="40"/>
      <c r="I783" s="135"/>
    </row>
    <row r="784" spans="1:9" ht="20.25" customHeight="1">
      <c r="A784" s="40"/>
      <c r="B784" s="40"/>
      <c r="C784" s="40"/>
      <c r="D784" s="40"/>
      <c r="E784" s="40"/>
      <c r="F784" s="40"/>
      <c r="G784" s="40"/>
      <c r="H784" s="40"/>
      <c r="I784" s="135"/>
    </row>
    <row r="785" spans="1:9" ht="20.25" customHeight="1">
      <c r="A785" s="22" t="s">
        <v>683</v>
      </c>
      <c r="B785" s="491" t="s">
        <v>688</v>
      </c>
      <c r="C785" s="492"/>
      <c r="D785" s="5" t="s">
        <v>686</v>
      </c>
      <c r="E785" s="5" t="s">
        <v>712</v>
      </c>
      <c r="F785" s="5" t="s">
        <v>686</v>
      </c>
      <c r="G785" s="510" t="s">
        <v>713</v>
      </c>
      <c r="H785" s="511"/>
      <c r="I785" s="6" t="s">
        <v>714</v>
      </c>
    </row>
    <row r="786" spans="1:9" ht="20.25" customHeight="1">
      <c r="A786" s="23" t="s">
        <v>684</v>
      </c>
      <c r="B786" s="493"/>
      <c r="C786" s="494"/>
      <c r="D786" s="7" t="s">
        <v>656</v>
      </c>
      <c r="E786" s="7" t="s">
        <v>715</v>
      </c>
      <c r="F786" s="7" t="s">
        <v>657</v>
      </c>
      <c r="G786" s="8" t="s">
        <v>706</v>
      </c>
      <c r="H786" s="9" t="s">
        <v>707</v>
      </c>
      <c r="I786" s="10" t="s">
        <v>717</v>
      </c>
    </row>
    <row r="787" spans="1:9" ht="20.25" customHeight="1">
      <c r="A787" s="13">
        <v>1</v>
      </c>
      <c r="B787" s="535">
        <v>2</v>
      </c>
      <c r="C787" s="536"/>
      <c r="D787" s="12">
        <v>3</v>
      </c>
      <c r="E787" s="12">
        <v>4</v>
      </c>
      <c r="F787" s="12">
        <v>5</v>
      </c>
      <c r="G787" s="12">
        <v>6</v>
      </c>
      <c r="H787" s="12">
        <v>7</v>
      </c>
      <c r="I787" s="13">
        <v>8</v>
      </c>
    </row>
    <row r="788" spans="1:9" ht="20.25" customHeight="1">
      <c r="A788" s="24">
        <v>16019</v>
      </c>
      <c r="B788" s="483" t="s">
        <v>145</v>
      </c>
      <c r="C788" s="484"/>
      <c r="D788" s="25">
        <v>142942</v>
      </c>
      <c r="E788" s="25">
        <v>254000</v>
      </c>
      <c r="F788" s="25">
        <v>209222.22</v>
      </c>
      <c r="G788" s="15">
        <f aca="true" t="shared" si="37" ref="G788:G813">F788/D788</f>
        <v>1.4636861104503924</v>
      </c>
      <c r="H788" s="27">
        <f aca="true" t="shared" si="38" ref="H788:H813">F788/E788</f>
        <v>0.8237095275590551</v>
      </c>
      <c r="I788" s="16">
        <f>F788/F813</f>
        <v>0.7141854736584691</v>
      </c>
    </row>
    <row r="789" spans="1:9" ht="20.25" customHeight="1">
      <c r="A789" s="24">
        <v>16319</v>
      </c>
      <c r="B789" s="483" t="s">
        <v>72</v>
      </c>
      <c r="C789" s="484"/>
      <c r="D789" s="25">
        <v>0</v>
      </c>
      <c r="E789" s="25">
        <v>0</v>
      </c>
      <c r="F789" s="25">
        <v>0</v>
      </c>
      <c r="G789" s="15" t="e">
        <f t="shared" si="37"/>
        <v>#DIV/0!</v>
      </c>
      <c r="H789" s="16" t="e">
        <f t="shared" si="38"/>
        <v>#DIV/0!</v>
      </c>
      <c r="I789" s="16">
        <f>F789/F813</f>
        <v>0</v>
      </c>
    </row>
    <row r="790" spans="1:9" ht="20.25" customHeight="1">
      <c r="A790" s="24">
        <v>16637</v>
      </c>
      <c r="B790" s="483" t="s">
        <v>73</v>
      </c>
      <c r="C790" s="484"/>
      <c r="D790" s="25">
        <v>0</v>
      </c>
      <c r="E790" s="25">
        <v>0</v>
      </c>
      <c r="F790" s="25">
        <v>0</v>
      </c>
      <c r="G790" s="15" t="e">
        <f t="shared" si="37"/>
        <v>#DIV/0!</v>
      </c>
      <c r="H790" s="16" t="e">
        <f t="shared" si="38"/>
        <v>#DIV/0!</v>
      </c>
      <c r="I790" s="16">
        <f>F790/F813</f>
        <v>0</v>
      </c>
    </row>
    <row r="791" spans="1:9" ht="20.25" customHeight="1">
      <c r="A791" s="24">
        <v>16795</v>
      </c>
      <c r="B791" s="483" t="s">
        <v>74</v>
      </c>
      <c r="C791" s="484"/>
      <c r="D791" s="25">
        <v>0</v>
      </c>
      <c r="E791" s="25">
        <v>0</v>
      </c>
      <c r="F791" s="25">
        <v>0</v>
      </c>
      <c r="G791" s="15" t="e">
        <f t="shared" si="37"/>
        <v>#DIV/0!</v>
      </c>
      <c r="H791" s="16" t="e">
        <f t="shared" si="38"/>
        <v>#DIV/0!</v>
      </c>
      <c r="I791" s="16">
        <f>F791/F813</f>
        <v>0</v>
      </c>
    </row>
    <row r="792" spans="1:9" ht="20.25" customHeight="1">
      <c r="A792" s="24">
        <v>16919</v>
      </c>
      <c r="B792" s="483" t="s">
        <v>75</v>
      </c>
      <c r="C792" s="484"/>
      <c r="D792" s="25">
        <v>0</v>
      </c>
      <c r="E792" s="25">
        <v>0</v>
      </c>
      <c r="F792" s="25">
        <v>0</v>
      </c>
      <c r="G792" s="15" t="e">
        <f t="shared" si="37"/>
        <v>#DIV/0!</v>
      </c>
      <c r="H792" s="16" t="e">
        <f t="shared" si="38"/>
        <v>#DIV/0!</v>
      </c>
      <c r="I792" s="16">
        <f>F792/F813</f>
        <v>0</v>
      </c>
    </row>
    <row r="793" spans="1:9" ht="20.25" customHeight="1">
      <c r="A793" s="24">
        <v>17519</v>
      </c>
      <c r="B793" s="483" t="s">
        <v>76</v>
      </c>
      <c r="C793" s="484"/>
      <c r="D793" s="25">
        <v>1000</v>
      </c>
      <c r="E793" s="25">
        <v>0</v>
      </c>
      <c r="F793" s="25">
        <v>0</v>
      </c>
      <c r="G793" s="15">
        <f t="shared" si="37"/>
        <v>0</v>
      </c>
      <c r="H793" s="16" t="e">
        <f t="shared" si="38"/>
        <v>#DIV/0!</v>
      </c>
      <c r="I793" s="16">
        <f>F793/F813</f>
        <v>0</v>
      </c>
    </row>
    <row r="794" spans="1:9" ht="20.25" customHeight="1">
      <c r="A794" s="24">
        <v>18019</v>
      </c>
      <c r="B794" s="483" t="s">
        <v>77</v>
      </c>
      <c r="C794" s="484"/>
      <c r="D794" s="25">
        <v>0</v>
      </c>
      <c r="E794" s="25">
        <v>0</v>
      </c>
      <c r="F794" s="25">
        <v>0</v>
      </c>
      <c r="G794" s="15" t="e">
        <f t="shared" si="37"/>
        <v>#DIV/0!</v>
      </c>
      <c r="H794" s="16" t="e">
        <f t="shared" si="38"/>
        <v>#DIV/0!</v>
      </c>
      <c r="I794" s="16">
        <f>F794/F813</f>
        <v>0</v>
      </c>
    </row>
    <row r="795" spans="1:9" ht="20.25" customHeight="1">
      <c r="A795" s="24">
        <v>18295</v>
      </c>
      <c r="B795" s="483" t="s">
        <v>78</v>
      </c>
      <c r="C795" s="484"/>
      <c r="D795" s="25">
        <v>0</v>
      </c>
      <c r="E795" s="25">
        <v>0</v>
      </c>
      <c r="F795" s="25">
        <v>70000</v>
      </c>
      <c r="G795" s="15" t="e">
        <f t="shared" si="37"/>
        <v>#DIV/0!</v>
      </c>
      <c r="H795" s="16" t="e">
        <f t="shared" si="38"/>
        <v>#DIV/0!</v>
      </c>
      <c r="I795" s="16">
        <f>F795/F813</f>
        <v>0.23894681528612416</v>
      </c>
    </row>
    <row r="796" spans="1:9" ht="20.25" customHeight="1">
      <c r="A796" s="24">
        <v>19595</v>
      </c>
      <c r="B796" s="483" t="s">
        <v>79</v>
      </c>
      <c r="C796" s="484"/>
      <c r="D796" s="25">
        <v>0</v>
      </c>
      <c r="E796" s="25">
        <v>0</v>
      </c>
      <c r="F796" s="25">
        <v>0</v>
      </c>
      <c r="G796" s="15" t="e">
        <f>F796/D796</f>
        <v>#DIV/0!</v>
      </c>
      <c r="H796" s="16" t="e">
        <f>F796/E796</f>
        <v>#DIV/0!</v>
      </c>
      <c r="I796" s="16">
        <f>F796/F813</f>
        <v>0</v>
      </c>
    </row>
    <row r="797" spans="1:9" ht="20.25" customHeight="1">
      <c r="A797" s="24">
        <v>47019</v>
      </c>
      <c r="B797" s="483" t="s">
        <v>80</v>
      </c>
      <c r="C797" s="484"/>
      <c r="D797" s="25">
        <v>0</v>
      </c>
      <c r="E797" s="25">
        <v>0</v>
      </c>
      <c r="F797" s="25">
        <v>0</v>
      </c>
      <c r="G797" s="15" t="e">
        <f t="shared" si="37"/>
        <v>#DIV/0!</v>
      </c>
      <c r="H797" s="16" t="e">
        <f t="shared" si="38"/>
        <v>#DIV/0!</v>
      </c>
      <c r="I797" s="16">
        <f>F797/F813</f>
        <v>0</v>
      </c>
    </row>
    <row r="798" spans="1:9" ht="20.25" customHeight="1">
      <c r="A798" s="24">
        <v>48019</v>
      </c>
      <c r="B798" s="483" t="s">
        <v>81</v>
      </c>
      <c r="C798" s="484"/>
      <c r="D798" s="25">
        <v>0</v>
      </c>
      <c r="E798" s="25">
        <v>0</v>
      </c>
      <c r="F798" s="25">
        <v>0</v>
      </c>
      <c r="G798" s="15" t="e">
        <f t="shared" si="37"/>
        <v>#DIV/0!</v>
      </c>
      <c r="H798" s="16" t="e">
        <f t="shared" si="38"/>
        <v>#DIV/0!</v>
      </c>
      <c r="I798" s="16">
        <f>F798/F813</f>
        <v>0</v>
      </c>
    </row>
    <row r="799" spans="1:9" ht="20.25" customHeight="1">
      <c r="A799" s="24">
        <v>65095</v>
      </c>
      <c r="B799" s="483" t="s">
        <v>82</v>
      </c>
      <c r="C799" s="484"/>
      <c r="D799" s="25">
        <v>0</v>
      </c>
      <c r="E799" s="25">
        <v>0</v>
      </c>
      <c r="F799" s="25">
        <v>0</v>
      </c>
      <c r="G799" s="15" t="e">
        <f t="shared" si="37"/>
        <v>#DIV/0!</v>
      </c>
      <c r="H799" s="16" t="e">
        <f t="shared" si="38"/>
        <v>#DIV/0!</v>
      </c>
      <c r="I799" s="16">
        <f>F799/F813</f>
        <v>0</v>
      </c>
    </row>
    <row r="800" spans="1:9" ht="20.25" customHeight="1">
      <c r="A800" s="24">
        <v>65495</v>
      </c>
      <c r="B800" s="483" t="s">
        <v>910</v>
      </c>
      <c r="C800" s="484"/>
      <c r="D800" s="25">
        <v>0</v>
      </c>
      <c r="E800" s="25">
        <v>0</v>
      </c>
      <c r="F800" s="25">
        <v>0</v>
      </c>
      <c r="G800" s="15" t="e">
        <f t="shared" si="37"/>
        <v>#DIV/0!</v>
      </c>
      <c r="H800" s="16" t="e">
        <f t="shared" si="38"/>
        <v>#DIV/0!</v>
      </c>
      <c r="I800" s="16">
        <f>F800/F813</f>
        <v>0</v>
      </c>
    </row>
    <row r="801" spans="1:9" ht="20.25" customHeight="1">
      <c r="A801" s="24">
        <v>66400</v>
      </c>
      <c r="B801" s="483" t="s">
        <v>84</v>
      </c>
      <c r="C801" s="484"/>
      <c r="D801" s="25">
        <v>0</v>
      </c>
      <c r="E801" s="25">
        <v>0</v>
      </c>
      <c r="F801" s="25">
        <v>0</v>
      </c>
      <c r="G801" s="15" t="e">
        <f t="shared" si="37"/>
        <v>#DIV/0!</v>
      </c>
      <c r="H801" s="16" t="e">
        <f t="shared" si="38"/>
        <v>#DIV/0!</v>
      </c>
      <c r="I801" s="16">
        <f>F801/F813</f>
        <v>0</v>
      </c>
    </row>
    <row r="802" spans="1:9" ht="26.25" customHeight="1">
      <c r="A802" s="35"/>
      <c r="B802" s="530" t="s">
        <v>85</v>
      </c>
      <c r="C802" s="531"/>
      <c r="D802" s="85">
        <f>D803+D804+D805</f>
        <v>14376</v>
      </c>
      <c r="E802" s="36">
        <f>E803+E804+E805</f>
        <v>30000</v>
      </c>
      <c r="F802" s="85">
        <f>F803+F804+F805</f>
        <v>13730</v>
      </c>
      <c r="G802" s="20">
        <f t="shared" si="37"/>
        <v>0.9550639955481358</v>
      </c>
      <c r="H802" s="21">
        <f t="shared" si="38"/>
        <v>0.45766666666666667</v>
      </c>
      <c r="I802" s="21">
        <f>F802/F813</f>
        <v>0.04686771105540692</v>
      </c>
    </row>
    <row r="803" spans="1:9" ht="20.25" customHeight="1">
      <c r="A803" s="24">
        <v>73028</v>
      </c>
      <c r="B803" s="483" t="s">
        <v>86</v>
      </c>
      <c r="C803" s="484"/>
      <c r="D803" s="25">
        <v>0</v>
      </c>
      <c r="E803" s="25">
        <v>0</v>
      </c>
      <c r="F803" s="25">
        <v>0</v>
      </c>
      <c r="G803" s="15" t="e">
        <f t="shared" si="37"/>
        <v>#DIV/0!</v>
      </c>
      <c r="H803" s="16" t="e">
        <f t="shared" si="38"/>
        <v>#DIV/0!</v>
      </c>
      <c r="I803" s="16">
        <f>F803/F802</f>
        <v>0</v>
      </c>
    </row>
    <row r="804" spans="1:9" ht="20.25" customHeight="1">
      <c r="A804" s="24">
        <v>74100</v>
      </c>
      <c r="B804" s="483" t="s">
        <v>87</v>
      </c>
      <c r="C804" s="484"/>
      <c r="D804" s="25">
        <v>0</v>
      </c>
      <c r="E804" s="25">
        <v>0</v>
      </c>
      <c r="F804" s="25">
        <v>0</v>
      </c>
      <c r="G804" s="15" t="e">
        <f t="shared" si="37"/>
        <v>#DIV/0!</v>
      </c>
      <c r="H804" s="16" t="e">
        <f t="shared" si="38"/>
        <v>#DIV/0!</v>
      </c>
      <c r="I804" s="16">
        <f>F804/F802</f>
        <v>0</v>
      </c>
    </row>
    <row r="805" spans="1:9" ht="20.25" customHeight="1">
      <c r="A805" s="24">
        <v>75590</v>
      </c>
      <c r="B805" s="483" t="s">
        <v>88</v>
      </c>
      <c r="C805" s="484"/>
      <c r="D805" s="25">
        <v>14376</v>
      </c>
      <c r="E805" s="25">
        <v>30000</v>
      </c>
      <c r="F805" s="25">
        <v>13730</v>
      </c>
      <c r="G805" s="15">
        <f t="shared" si="37"/>
        <v>0.9550639955481358</v>
      </c>
      <c r="H805" s="16">
        <f t="shared" si="38"/>
        <v>0.45766666666666667</v>
      </c>
      <c r="I805" s="16">
        <f>F805/F802</f>
        <v>1</v>
      </c>
    </row>
    <row r="806" spans="1:9" ht="20.25" customHeight="1">
      <c r="A806" s="24">
        <v>76095</v>
      </c>
      <c r="B806" s="483" t="s">
        <v>89</v>
      </c>
      <c r="C806" s="484"/>
      <c r="D806" s="25">
        <v>0</v>
      </c>
      <c r="E806" s="25">
        <v>0</v>
      </c>
      <c r="F806" s="25">
        <v>0</v>
      </c>
      <c r="G806" s="15" t="e">
        <f t="shared" si="37"/>
        <v>#DIV/0!</v>
      </c>
      <c r="H806" s="16" t="e">
        <f t="shared" si="38"/>
        <v>#DIV/0!</v>
      </c>
      <c r="I806" s="16">
        <f>E806/E802</f>
        <v>0</v>
      </c>
    </row>
    <row r="807" spans="1:9" ht="20.25" customHeight="1">
      <c r="A807" s="24">
        <v>85019</v>
      </c>
      <c r="B807" s="483" t="s">
        <v>90</v>
      </c>
      <c r="C807" s="484"/>
      <c r="D807" s="25">
        <v>0</v>
      </c>
      <c r="E807" s="25">
        <v>0</v>
      </c>
      <c r="F807" s="25">
        <v>0</v>
      </c>
      <c r="G807" s="15" t="e">
        <f t="shared" si="37"/>
        <v>#DIV/0!</v>
      </c>
      <c r="H807" s="16" t="e">
        <f t="shared" si="38"/>
        <v>#DIV/0!</v>
      </c>
      <c r="I807" s="16">
        <f>F807/F813</f>
        <v>0</v>
      </c>
    </row>
    <row r="808" spans="1:9" ht="26.25" customHeight="1">
      <c r="A808" s="35"/>
      <c r="B808" s="530" t="s">
        <v>91</v>
      </c>
      <c r="C808" s="531"/>
      <c r="D808" s="36">
        <f>D809+D810+D811+D812</f>
        <v>0</v>
      </c>
      <c r="E808" s="36">
        <f>E809+E810+E811+E812</f>
        <v>0</v>
      </c>
      <c r="F808" s="36">
        <f>F809+F810+F811+F812</f>
        <v>0</v>
      </c>
      <c r="G808" s="20" t="e">
        <f t="shared" si="37"/>
        <v>#DIV/0!</v>
      </c>
      <c r="H808" s="21" t="e">
        <f t="shared" si="38"/>
        <v>#DIV/0!</v>
      </c>
      <c r="I808" s="21">
        <f>F808/F813</f>
        <v>0</v>
      </c>
    </row>
    <row r="809" spans="1:9" ht="20.25" customHeight="1">
      <c r="A809" s="24">
        <v>92095</v>
      </c>
      <c r="B809" s="483" t="s">
        <v>86</v>
      </c>
      <c r="C809" s="484"/>
      <c r="D809" s="25">
        <v>0</v>
      </c>
      <c r="E809" s="25">
        <v>0</v>
      </c>
      <c r="F809" s="25">
        <v>0</v>
      </c>
      <c r="G809" s="15" t="e">
        <f t="shared" si="37"/>
        <v>#DIV/0!</v>
      </c>
      <c r="H809" s="16" t="e">
        <f t="shared" si="38"/>
        <v>#DIV/0!</v>
      </c>
      <c r="I809" s="16" t="e">
        <f>F809/F808</f>
        <v>#DIV/0!</v>
      </c>
    </row>
    <row r="810" spans="1:9" ht="20.25" customHeight="1">
      <c r="A810" s="24">
        <v>92570</v>
      </c>
      <c r="B810" s="483" t="s">
        <v>92</v>
      </c>
      <c r="C810" s="484"/>
      <c r="D810" s="25">
        <v>0</v>
      </c>
      <c r="E810" s="25">
        <v>0</v>
      </c>
      <c r="F810" s="25">
        <v>0</v>
      </c>
      <c r="G810" s="15" t="e">
        <f t="shared" si="37"/>
        <v>#DIV/0!</v>
      </c>
      <c r="H810" s="16" t="e">
        <f t="shared" si="38"/>
        <v>#DIV/0!</v>
      </c>
      <c r="I810" s="16" t="e">
        <f>F810/F808</f>
        <v>#DIV/0!</v>
      </c>
    </row>
    <row r="811" spans="1:9" ht="20.25" customHeight="1">
      <c r="A811" s="24">
        <v>93540</v>
      </c>
      <c r="B811" s="483" t="s">
        <v>93</v>
      </c>
      <c r="C811" s="484"/>
      <c r="D811" s="25">
        <v>0</v>
      </c>
      <c r="E811" s="25">
        <v>0</v>
      </c>
      <c r="F811" s="25">
        <v>0</v>
      </c>
      <c r="G811" s="15" t="e">
        <f t="shared" si="37"/>
        <v>#DIV/0!</v>
      </c>
      <c r="H811" s="16" t="e">
        <f t="shared" si="38"/>
        <v>#DIV/0!</v>
      </c>
      <c r="I811" s="16" t="e">
        <f>F811/F808</f>
        <v>#DIV/0!</v>
      </c>
    </row>
    <row r="812" spans="1:9" ht="20.25" customHeight="1">
      <c r="A812" s="24">
        <v>94740</v>
      </c>
      <c r="B812" s="483" t="s">
        <v>554</v>
      </c>
      <c r="C812" s="484"/>
      <c r="D812" s="25">
        <v>0</v>
      </c>
      <c r="E812" s="25">
        <v>0</v>
      </c>
      <c r="F812" s="25">
        <v>0</v>
      </c>
      <c r="G812" s="15" t="e">
        <f t="shared" si="37"/>
        <v>#DIV/0!</v>
      </c>
      <c r="H812" s="16" t="e">
        <f t="shared" si="38"/>
        <v>#DIV/0!</v>
      </c>
      <c r="I812" s="16" t="e">
        <f>F812/F808</f>
        <v>#DIV/0!</v>
      </c>
    </row>
    <row r="813" spans="1:9" ht="33.75" customHeight="1">
      <c r="A813" s="271"/>
      <c r="B813" s="495" t="s">
        <v>95</v>
      </c>
      <c r="C813" s="496"/>
      <c r="D813" s="211">
        <f>D788+D789+D790+D791+D792+D793+D794+D795+D796+D797+D798+D799+D800+D801+D802+D806+D807+D808</f>
        <v>158318</v>
      </c>
      <c r="E813" s="211">
        <f>E788+E789+E790+E791+E792+E793+E794+E795+E796+E797+E798+E800+E801+E802+E807+E808</f>
        <v>284000</v>
      </c>
      <c r="F813" s="211">
        <f>F788+F789+F790+F791+F792+F793+F794+F795+F796+F797+F798+F799+F800+F801+F802+F806+F807+F808</f>
        <v>292952.22</v>
      </c>
      <c r="G813" s="265">
        <f t="shared" si="37"/>
        <v>1.8504037443626118</v>
      </c>
      <c r="H813" s="266">
        <f t="shared" si="38"/>
        <v>1.0315219014084507</v>
      </c>
      <c r="I813" s="266">
        <f>SUM(I788+I789+I790+I791+I792+I793+I794+I795+I796+I797+I798+I799+I801+I802+I807+I808)</f>
        <v>1.0000000000000002</v>
      </c>
    </row>
    <row r="814" spans="1:9" ht="20.25" customHeight="1">
      <c r="A814" s="87"/>
      <c r="B814" s="93"/>
      <c r="C814" s="94"/>
      <c r="D814" s="94"/>
      <c r="E814" s="94"/>
      <c r="F814" s="95"/>
      <c r="G814" s="96"/>
      <c r="H814" s="135"/>
      <c r="I814" s="135"/>
    </row>
    <row r="815" spans="1:9" ht="20.25" customHeight="1">
      <c r="A815" s="486" t="s">
        <v>12</v>
      </c>
      <c r="B815" s="486"/>
      <c r="C815" s="486"/>
      <c r="D815" s="486"/>
      <c r="E815" s="486"/>
      <c r="F815" s="486"/>
      <c r="G815" s="486"/>
      <c r="H815" s="486"/>
      <c r="I815" s="486"/>
    </row>
    <row r="816" spans="1:9" ht="20.25" customHeight="1">
      <c r="A816" s="486" t="s">
        <v>955</v>
      </c>
      <c r="B816" s="486"/>
      <c r="C816" s="486"/>
      <c r="D816" s="486"/>
      <c r="E816" s="486"/>
      <c r="F816" s="486"/>
      <c r="G816" s="486"/>
      <c r="H816" s="486"/>
      <c r="I816" s="486"/>
    </row>
    <row r="817" spans="1:9" ht="20.25" customHeight="1">
      <c r="A817" s="39"/>
      <c r="B817" s="39"/>
      <c r="C817" s="39"/>
      <c r="D817" s="39"/>
      <c r="E817" s="39"/>
      <c r="F817" s="39"/>
      <c r="G817" s="39"/>
      <c r="H817" s="39"/>
      <c r="I817" s="39"/>
    </row>
    <row r="818" spans="1:9" ht="20.25" customHeight="1">
      <c r="A818" s="39"/>
      <c r="B818" s="39"/>
      <c r="C818" s="39"/>
      <c r="D818" s="39"/>
      <c r="E818" s="39"/>
      <c r="F818" s="39"/>
      <c r="G818" s="39"/>
      <c r="H818" s="40"/>
      <c r="I818" s="443">
        <v>11</v>
      </c>
    </row>
    <row r="819" spans="1:9" ht="20.25" customHeight="1">
      <c r="A819" s="39"/>
      <c r="B819" s="39"/>
      <c r="C819" s="39"/>
      <c r="D819" s="39"/>
      <c r="E819" s="39"/>
      <c r="F819" s="39"/>
      <c r="G819" s="39"/>
      <c r="H819" s="40"/>
      <c r="I819" s="272"/>
    </row>
    <row r="820" spans="1:8" ht="20.25" customHeight="1">
      <c r="A820" s="40"/>
      <c r="B820" s="40"/>
      <c r="C820" s="40"/>
      <c r="D820" s="40"/>
      <c r="E820" s="40"/>
      <c r="F820" s="40"/>
      <c r="G820" s="40"/>
      <c r="H820" s="40"/>
    </row>
    <row r="821" spans="1:9" ht="30" customHeight="1">
      <c r="A821" s="40"/>
      <c r="B821" s="633" t="s">
        <v>469</v>
      </c>
      <c r="C821" s="633"/>
      <c r="D821" s="40"/>
      <c r="E821" s="40"/>
      <c r="F821" s="40"/>
      <c r="G821" s="40"/>
      <c r="H821" s="40"/>
      <c r="I821" s="135"/>
    </row>
    <row r="822" spans="1:9" ht="19.5" customHeight="1">
      <c r="A822" s="40"/>
      <c r="B822" s="81"/>
      <c r="C822" s="81"/>
      <c r="D822" s="40"/>
      <c r="E822" s="40"/>
      <c r="F822" s="40"/>
      <c r="G822" s="40"/>
      <c r="H822" s="40"/>
      <c r="I822" s="135"/>
    </row>
    <row r="823" spans="1:9" ht="19.5" customHeight="1">
      <c r="A823" s="40"/>
      <c r="B823" s="40"/>
      <c r="C823" s="40"/>
      <c r="D823" s="40"/>
      <c r="E823" s="40"/>
      <c r="F823" s="40"/>
      <c r="G823" s="40"/>
      <c r="H823" s="40"/>
      <c r="I823" s="135"/>
    </row>
    <row r="824" spans="1:9" ht="19.5" customHeight="1">
      <c r="A824" s="486" t="s">
        <v>956</v>
      </c>
      <c r="B824" s="486"/>
      <c r="C824" s="486"/>
      <c r="D824" s="486"/>
      <c r="E824" s="486"/>
      <c r="F824" s="486"/>
      <c r="G824" s="486"/>
      <c r="H824" s="486"/>
      <c r="I824" s="486"/>
    </row>
    <row r="825" spans="1:9" ht="19.5" customHeight="1">
      <c r="A825" s="486" t="s">
        <v>617</v>
      </c>
      <c r="B825" s="486"/>
      <c r="C825" s="486"/>
      <c r="D825" s="486"/>
      <c r="E825" s="486"/>
      <c r="F825" s="486"/>
      <c r="G825" s="486"/>
      <c r="H825" s="486"/>
      <c r="I825" s="486"/>
    </row>
    <row r="826" spans="1:9" ht="19.5" customHeight="1">
      <c r="A826" s="486" t="s">
        <v>4</v>
      </c>
      <c r="B826" s="486"/>
      <c r="C826" s="486"/>
      <c r="D826" s="486"/>
      <c r="E826" s="486"/>
      <c r="F826" s="486"/>
      <c r="G826" s="486"/>
      <c r="H826" s="486"/>
      <c r="I826" s="486"/>
    </row>
    <row r="827" spans="1:9" ht="19.5" customHeight="1">
      <c r="A827" s="40"/>
      <c r="B827" s="40"/>
      <c r="C827" s="40"/>
      <c r="D827" s="40"/>
      <c r="E827" s="40"/>
      <c r="F827" s="2"/>
      <c r="G827" s="40"/>
      <c r="H827" s="97"/>
      <c r="I827" s="135"/>
    </row>
    <row r="828" spans="1:9" ht="19.5" customHeight="1">
      <c r="A828" s="40"/>
      <c r="B828" s="40"/>
      <c r="C828" s="40"/>
      <c r="D828" s="487" t="s">
        <v>682</v>
      </c>
      <c r="E828" s="487"/>
      <c r="F828" s="487"/>
      <c r="G828" s="40"/>
      <c r="H828" s="2"/>
      <c r="I828" s="135"/>
    </row>
    <row r="829" spans="1:9" ht="19.5" customHeight="1">
      <c r="A829" s="40"/>
      <c r="B829" s="40"/>
      <c r="C829" s="40"/>
      <c r="D829" s="40"/>
      <c r="E829" s="40"/>
      <c r="F829" s="40"/>
      <c r="G829" s="40"/>
      <c r="H829" s="3"/>
      <c r="I829" s="135"/>
    </row>
    <row r="830" spans="1:9" ht="19.5" customHeight="1">
      <c r="A830" s="489" t="s">
        <v>710</v>
      </c>
      <c r="B830" s="491" t="s">
        <v>711</v>
      </c>
      <c r="C830" s="492"/>
      <c r="D830" s="5" t="s">
        <v>686</v>
      </c>
      <c r="E830" s="5" t="s">
        <v>712</v>
      </c>
      <c r="F830" s="5" t="s">
        <v>686</v>
      </c>
      <c r="G830" s="510" t="s">
        <v>713</v>
      </c>
      <c r="H830" s="511"/>
      <c r="I830" s="6" t="s">
        <v>714</v>
      </c>
    </row>
    <row r="831" spans="1:9" ht="19.5" customHeight="1">
      <c r="A831" s="490"/>
      <c r="B831" s="493"/>
      <c r="C831" s="494"/>
      <c r="D831" s="7" t="s">
        <v>656</v>
      </c>
      <c r="E831" s="7" t="s">
        <v>715</v>
      </c>
      <c r="F831" s="7" t="s">
        <v>657</v>
      </c>
      <c r="G831" s="8" t="s">
        <v>706</v>
      </c>
      <c r="H831" s="9" t="s">
        <v>707</v>
      </c>
      <c r="I831" s="10" t="s">
        <v>717</v>
      </c>
    </row>
    <row r="832" spans="1:9" ht="19.5" customHeight="1">
      <c r="A832" s="17">
        <v>1</v>
      </c>
      <c r="B832" s="546">
        <v>2</v>
      </c>
      <c r="C832" s="547"/>
      <c r="D832" s="215">
        <v>3</v>
      </c>
      <c r="E832" s="215">
        <v>4</v>
      </c>
      <c r="F832" s="215">
        <v>5</v>
      </c>
      <c r="G832" s="215">
        <v>6</v>
      </c>
      <c r="H832" s="215">
        <v>7</v>
      </c>
      <c r="I832" s="63">
        <v>8</v>
      </c>
    </row>
    <row r="833" spans="1:9" ht="19.5" customHeight="1">
      <c r="A833" s="4">
        <v>10</v>
      </c>
      <c r="B833" s="504" t="s">
        <v>470</v>
      </c>
      <c r="C833" s="505"/>
      <c r="D833" s="54">
        <v>832192.02</v>
      </c>
      <c r="E833" s="25">
        <f>2744692+310000-7149.78</f>
        <v>3047542.22</v>
      </c>
      <c r="F833" s="54">
        <v>649172.51</v>
      </c>
      <c r="G833" s="15">
        <f aca="true" t="shared" si="39" ref="G833:G838">F833/D833</f>
        <v>0.7800753845248359</v>
      </c>
      <c r="H833" s="16">
        <f aca="true" t="shared" si="40" ref="H833:H838">F833/E833</f>
        <v>0.21301509975471314</v>
      </c>
      <c r="I833" s="16">
        <f>F833/F838</f>
        <v>0.6743683338705897</v>
      </c>
    </row>
    <row r="834" spans="1:9" ht="19.5" customHeight="1">
      <c r="A834" s="4">
        <v>21</v>
      </c>
      <c r="B834" s="504" t="s">
        <v>471</v>
      </c>
      <c r="C834" s="505"/>
      <c r="D834" s="54">
        <v>308031.44</v>
      </c>
      <c r="E834" s="25">
        <f>1387155+473000+246823-64000</f>
        <v>2042978</v>
      </c>
      <c r="F834" s="54">
        <v>118819.4</v>
      </c>
      <c r="G834" s="15">
        <f t="shared" si="39"/>
        <v>0.38573789740423897</v>
      </c>
      <c r="H834" s="16">
        <f t="shared" si="40"/>
        <v>0.058159901868742585</v>
      </c>
      <c r="I834" s="16">
        <f>F834/F838</f>
        <v>0.1234310442527875</v>
      </c>
    </row>
    <row r="835" spans="1:9" ht="19.5" customHeight="1">
      <c r="A835" s="4">
        <v>22</v>
      </c>
      <c r="B835" s="504" t="s">
        <v>259</v>
      </c>
      <c r="C835" s="505"/>
      <c r="D835" s="54">
        <v>370724.34</v>
      </c>
      <c r="E835" s="25">
        <v>0</v>
      </c>
      <c r="F835" s="54">
        <v>185713.1</v>
      </c>
      <c r="G835" s="15">
        <f t="shared" si="39"/>
        <v>0.5009466063113094</v>
      </c>
      <c r="H835" s="16" t="e">
        <f t="shared" si="40"/>
        <v>#DIV/0!</v>
      </c>
      <c r="I835" s="16">
        <f>F835/F838</f>
        <v>0.1929210370059296</v>
      </c>
    </row>
    <row r="836" spans="1:9" ht="19.5" customHeight="1">
      <c r="A836" s="4">
        <v>31</v>
      </c>
      <c r="B836" s="504" t="s">
        <v>472</v>
      </c>
      <c r="C836" s="505"/>
      <c r="D836" s="54">
        <v>0</v>
      </c>
      <c r="E836" s="25">
        <v>0</v>
      </c>
      <c r="F836" s="54">
        <v>0</v>
      </c>
      <c r="G836" s="15" t="e">
        <f t="shared" si="39"/>
        <v>#DIV/0!</v>
      </c>
      <c r="H836" s="16" t="e">
        <f t="shared" si="40"/>
        <v>#DIV/0!</v>
      </c>
      <c r="I836" s="16">
        <f>F836/F838</f>
        <v>0</v>
      </c>
    </row>
    <row r="837" spans="1:9" ht="19.5" customHeight="1">
      <c r="A837" s="4"/>
      <c r="B837" s="504" t="s">
        <v>473</v>
      </c>
      <c r="C837" s="505"/>
      <c r="D837" s="54">
        <v>32317.52</v>
      </c>
      <c r="E837" s="25">
        <v>0</v>
      </c>
      <c r="F837" s="54">
        <v>8932.88</v>
      </c>
      <c r="G837" s="15">
        <f t="shared" si="39"/>
        <v>0.27640982352606264</v>
      </c>
      <c r="H837" s="16" t="e">
        <f t="shared" si="40"/>
        <v>#DIV/0!</v>
      </c>
      <c r="I837" s="16">
        <f>F837/F838</f>
        <v>0.009279584870693173</v>
      </c>
    </row>
    <row r="838" spans="1:9" ht="30" customHeight="1">
      <c r="A838" s="11"/>
      <c r="B838" s="548" t="s">
        <v>95</v>
      </c>
      <c r="C838" s="549"/>
      <c r="D838" s="269">
        <f>D833+D834+D835+D836+D837</f>
        <v>1543265.32</v>
      </c>
      <c r="E838" s="36">
        <f>E833+E834+E835+E836+E837</f>
        <v>5090520.220000001</v>
      </c>
      <c r="F838" s="211">
        <f>F833+F834+F835+F836+F837</f>
        <v>962637.89</v>
      </c>
      <c r="G838" s="212">
        <f t="shared" si="39"/>
        <v>0.6237669424205036</v>
      </c>
      <c r="H838" s="213">
        <f t="shared" si="40"/>
        <v>0.18910403031460699</v>
      </c>
      <c r="I838" s="266">
        <f>I833+I834+I835+I836+I837</f>
        <v>0.9999999999999999</v>
      </c>
    </row>
    <row r="839" spans="1:9" ht="9.75" customHeight="1">
      <c r="A839" s="99"/>
      <c r="B839" s="99"/>
      <c r="C839" s="99"/>
      <c r="D839" s="99"/>
      <c r="E839" s="99"/>
      <c r="F839" s="99"/>
      <c r="G839" s="99"/>
      <c r="H839" s="40"/>
      <c r="I839" s="135"/>
    </row>
    <row r="840" spans="1:9" ht="19.5" customHeight="1">
      <c r="A840" s="503" t="s">
        <v>959</v>
      </c>
      <c r="B840" s="503"/>
      <c r="C840" s="503"/>
      <c r="D840" s="503"/>
      <c r="E840" s="503"/>
      <c r="F840" s="503"/>
      <c r="G840" s="503"/>
      <c r="H840" s="503"/>
      <c r="I840" s="503"/>
    </row>
    <row r="841" spans="1:9" ht="19.5" customHeight="1">
      <c r="A841" s="503" t="s">
        <v>957</v>
      </c>
      <c r="B841" s="503"/>
      <c r="C841" s="503"/>
      <c r="D841" s="503"/>
      <c r="E841" s="503"/>
      <c r="F841" s="503"/>
      <c r="G841" s="503"/>
      <c r="H841" s="503"/>
      <c r="I841" s="503"/>
    </row>
    <row r="842" spans="1:9" ht="19.5" customHeight="1">
      <c r="A842" s="486" t="s">
        <v>958</v>
      </c>
      <c r="B842" s="486"/>
      <c r="C842" s="486"/>
      <c r="D842" s="486"/>
      <c r="E842" s="486"/>
      <c r="F842" s="486"/>
      <c r="G842" s="486"/>
      <c r="H842" s="486"/>
      <c r="I842" s="486"/>
    </row>
    <row r="843" spans="1:9" ht="19.5" customHeight="1">
      <c r="A843" s="40"/>
      <c r="B843" s="40"/>
      <c r="C843" s="40"/>
      <c r="D843" s="487" t="s">
        <v>682</v>
      </c>
      <c r="E843" s="487"/>
      <c r="F843" s="487"/>
      <c r="G843" s="40"/>
      <c r="H843" s="40"/>
      <c r="I843" s="135"/>
    </row>
    <row r="844" spans="1:9" ht="10.5" customHeight="1">
      <c r="A844" s="40"/>
      <c r="B844" s="40"/>
      <c r="C844" s="40"/>
      <c r="D844" s="40"/>
      <c r="E844" s="40"/>
      <c r="F844" s="40"/>
      <c r="G844" s="40"/>
      <c r="H844" s="40"/>
      <c r="I844" s="135"/>
    </row>
    <row r="845" spans="1:9" ht="19.5" customHeight="1">
      <c r="A845" s="22" t="s">
        <v>683</v>
      </c>
      <c r="B845" s="491" t="s">
        <v>688</v>
      </c>
      <c r="C845" s="492"/>
      <c r="D845" s="5" t="s">
        <v>686</v>
      </c>
      <c r="E845" s="5" t="s">
        <v>712</v>
      </c>
      <c r="F845" s="5" t="s">
        <v>686</v>
      </c>
      <c r="G845" s="510" t="s">
        <v>713</v>
      </c>
      <c r="H845" s="511"/>
      <c r="I845" s="6" t="s">
        <v>714</v>
      </c>
    </row>
    <row r="846" spans="1:9" ht="19.5" customHeight="1">
      <c r="A846" s="23" t="s">
        <v>684</v>
      </c>
      <c r="B846" s="493"/>
      <c r="C846" s="494"/>
      <c r="D846" s="7" t="s">
        <v>656</v>
      </c>
      <c r="E846" s="7" t="s">
        <v>715</v>
      </c>
      <c r="F846" s="7" t="s">
        <v>657</v>
      </c>
      <c r="G846" s="8" t="s">
        <v>706</v>
      </c>
      <c r="H846" s="9" t="s">
        <v>707</v>
      </c>
      <c r="I846" s="10" t="s">
        <v>717</v>
      </c>
    </row>
    <row r="847" spans="1:9" ht="19.5" customHeight="1">
      <c r="A847" s="13">
        <v>1</v>
      </c>
      <c r="B847" s="535">
        <v>2</v>
      </c>
      <c r="C847" s="536"/>
      <c r="D847" s="12">
        <v>3</v>
      </c>
      <c r="E847" s="12">
        <v>4</v>
      </c>
      <c r="F847" s="12">
        <v>5</v>
      </c>
      <c r="G847" s="12">
        <v>6</v>
      </c>
      <c r="H847" s="12">
        <v>7</v>
      </c>
      <c r="I847" s="13">
        <v>8</v>
      </c>
    </row>
    <row r="848" spans="1:9" ht="19.5" customHeight="1">
      <c r="A848" s="24">
        <v>16019</v>
      </c>
      <c r="B848" s="483" t="s">
        <v>145</v>
      </c>
      <c r="C848" s="484"/>
      <c r="D848" s="25">
        <v>435669.03</v>
      </c>
      <c r="E848" s="25">
        <f>646822.88-71149.78</f>
        <v>575673.1</v>
      </c>
      <c r="F848" s="25">
        <v>70766</v>
      </c>
      <c r="G848" s="15">
        <f aca="true" t="shared" si="41" ref="G848:G873">F848/D848</f>
        <v>0.16243064144357472</v>
      </c>
      <c r="H848" s="16">
        <f aca="true" t="shared" si="42" ref="H848:H873">F848/E848</f>
        <v>0.12292740445923216</v>
      </c>
      <c r="I848" s="16">
        <f>F848/F873</f>
        <v>0.07351258529829945</v>
      </c>
    </row>
    <row r="849" spans="1:9" ht="19.5" customHeight="1">
      <c r="A849" s="24">
        <v>16319</v>
      </c>
      <c r="B849" s="483" t="s">
        <v>72</v>
      </c>
      <c r="C849" s="484"/>
      <c r="D849" s="25">
        <v>9254</v>
      </c>
      <c r="E849" s="25">
        <v>50000</v>
      </c>
      <c r="F849" s="25">
        <v>57660</v>
      </c>
      <c r="G849" s="15">
        <f t="shared" si="41"/>
        <v>6.230819105251783</v>
      </c>
      <c r="H849" s="16">
        <f t="shared" si="42"/>
        <v>1.1532</v>
      </c>
      <c r="I849" s="16">
        <f>F849/F873</f>
        <v>0.0598979123915432</v>
      </c>
    </row>
    <row r="850" spans="1:9" ht="19.5" customHeight="1">
      <c r="A850" s="24">
        <v>16637</v>
      </c>
      <c r="B850" s="483" t="s">
        <v>73</v>
      </c>
      <c r="C850" s="484"/>
      <c r="D850" s="25">
        <v>0</v>
      </c>
      <c r="E850" s="25">
        <v>0</v>
      </c>
      <c r="F850" s="25">
        <v>0</v>
      </c>
      <c r="G850" s="15" t="e">
        <f t="shared" si="41"/>
        <v>#DIV/0!</v>
      </c>
      <c r="H850" s="16" t="e">
        <f t="shared" si="42"/>
        <v>#DIV/0!</v>
      </c>
      <c r="I850" s="16">
        <f>F850/F873</f>
        <v>0</v>
      </c>
    </row>
    <row r="851" spans="1:9" ht="19.5" customHeight="1">
      <c r="A851" s="24">
        <v>16795</v>
      </c>
      <c r="B851" s="483" t="s">
        <v>74</v>
      </c>
      <c r="C851" s="484"/>
      <c r="D851" s="25">
        <v>0</v>
      </c>
      <c r="E851" s="25">
        <v>0</v>
      </c>
      <c r="F851" s="25">
        <v>0</v>
      </c>
      <c r="G851" s="15" t="e">
        <f t="shared" si="41"/>
        <v>#DIV/0!</v>
      </c>
      <c r="H851" s="16" t="e">
        <f t="shared" si="42"/>
        <v>#DIV/0!</v>
      </c>
      <c r="I851" s="16">
        <f>F851/F873</f>
        <v>0</v>
      </c>
    </row>
    <row r="852" spans="1:9" ht="19.5" customHeight="1">
      <c r="A852" s="24">
        <v>16919</v>
      </c>
      <c r="B852" s="483" t="s">
        <v>75</v>
      </c>
      <c r="C852" s="484"/>
      <c r="D852" s="25">
        <v>0</v>
      </c>
      <c r="E852" s="25">
        <v>0</v>
      </c>
      <c r="F852" s="25">
        <v>0</v>
      </c>
      <c r="G852" s="15" t="e">
        <f t="shared" si="41"/>
        <v>#DIV/0!</v>
      </c>
      <c r="H852" s="16" t="e">
        <f t="shared" si="42"/>
        <v>#DIV/0!</v>
      </c>
      <c r="I852" s="16">
        <f>F852/F873</f>
        <v>0</v>
      </c>
    </row>
    <row r="853" spans="1:9" ht="19.5" customHeight="1">
      <c r="A853" s="24">
        <v>17519</v>
      </c>
      <c r="B853" s="483" t="s">
        <v>76</v>
      </c>
      <c r="C853" s="484"/>
      <c r="D853" s="25">
        <v>0</v>
      </c>
      <c r="E853" s="25">
        <v>0</v>
      </c>
      <c r="F853" s="25">
        <v>0</v>
      </c>
      <c r="G853" s="15" t="e">
        <f t="shared" si="41"/>
        <v>#DIV/0!</v>
      </c>
      <c r="H853" s="16" t="e">
        <f t="shared" si="42"/>
        <v>#DIV/0!</v>
      </c>
      <c r="I853" s="16">
        <f>F853/F873</f>
        <v>0</v>
      </c>
    </row>
    <row r="854" spans="1:9" ht="19.5" customHeight="1">
      <c r="A854" s="24">
        <v>18019</v>
      </c>
      <c r="B854" s="483" t="s">
        <v>77</v>
      </c>
      <c r="C854" s="484"/>
      <c r="D854" s="25">
        <v>893342.66</v>
      </c>
      <c r="E854" s="25">
        <v>3304269.12</v>
      </c>
      <c r="F854" s="25">
        <v>607687.51</v>
      </c>
      <c r="G854" s="15">
        <f>F854/D854</f>
        <v>0.6802401107767538</v>
      </c>
      <c r="H854" s="16">
        <f>F854/E854</f>
        <v>0.18390981119600816</v>
      </c>
      <c r="I854" s="16">
        <f>F854/F873</f>
        <v>0.6312732090776106</v>
      </c>
    </row>
    <row r="855" spans="1:9" ht="19.5" customHeight="1">
      <c r="A855" s="24">
        <v>18295</v>
      </c>
      <c r="B855" s="483" t="s">
        <v>78</v>
      </c>
      <c r="C855" s="484"/>
      <c r="D855" s="25">
        <v>32317.52</v>
      </c>
      <c r="E855" s="25">
        <v>114000</v>
      </c>
      <c r="F855" s="25">
        <f>8300+27548.1</f>
        <v>35848.1</v>
      </c>
      <c r="G855" s="15">
        <f>F855/D855</f>
        <v>1.1092466253598667</v>
      </c>
      <c r="H855" s="16">
        <f>F855/E855</f>
        <v>0.31445701754385963</v>
      </c>
      <c r="I855" s="16">
        <f>F855/F873</f>
        <v>0.03723944421094831</v>
      </c>
    </row>
    <row r="856" spans="1:9" ht="19.5" customHeight="1">
      <c r="A856" s="24">
        <v>19595</v>
      </c>
      <c r="B856" s="483" t="s">
        <v>79</v>
      </c>
      <c r="C856" s="484"/>
      <c r="D856" s="25">
        <v>0</v>
      </c>
      <c r="E856" s="25">
        <v>100000</v>
      </c>
      <c r="F856" s="25">
        <v>49397</v>
      </c>
      <c r="G856" s="15" t="e">
        <f t="shared" si="41"/>
        <v>#DIV/0!</v>
      </c>
      <c r="H856" s="16">
        <f t="shared" si="42"/>
        <v>0.49397</v>
      </c>
      <c r="I856" s="16">
        <f>F856/F873</f>
        <v>0.05131420704830141</v>
      </c>
    </row>
    <row r="857" spans="1:9" ht="19.5" customHeight="1">
      <c r="A857" s="24">
        <v>47019</v>
      </c>
      <c r="B857" s="483" t="s">
        <v>80</v>
      </c>
      <c r="C857" s="484"/>
      <c r="D857" s="25">
        <v>0</v>
      </c>
      <c r="E857" s="25">
        <v>200000</v>
      </c>
      <c r="F857" s="25">
        <v>0</v>
      </c>
      <c r="G857" s="15" t="e">
        <f t="shared" si="41"/>
        <v>#DIV/0!</v>
      </c>
      <c r="H857" s="16">
        <f t="shared" si="42"/>
        <v>0</v>
      </c>
      <c r="I857" s="16">
        <f>F857/F873</f>
        <v>0</v>
      </c>
    </row>
    <row r="858" spans="1:9" ht="19.5" customHeight="1">
      <c r="A858" s="24">
        <v>48019</v>
      </c>
      <c r="B858" s="483" t="s">
        <v>731</v>
      </c>
      <c r="C858" s="484"/>
      <c r="D858" s="25">
        <v>0</v>
      </c>
      <c r="E858" s="25">
        <v>45000</v>
      </c>
      <c r="F858" s="25">
        <v>8932.88</v>
      </c>
      <c r="G858" s="15" t="e">
        <f t="shared" si="41"/>
        <v>#DIV/0!</v>
      </c>
      <c r="H858" s="16">
        <f t="shared" si="42"/>
        <v>0.19850844444444443</v>
      </c>
      <c r="I858" s="16">
        <f>F858/F873</f>
        <v>0.009279584870693173</v>
      </c>
    </row>
    <row r="859" spans="1:9" ht="19.5" customHeight="1">
      <c r="A859" s="24">
        <v>65095</v>
      </c>
      <c r="B859" s="483" t="s">
        <v>82</v>
      </c>
      <c r="C859" s="484"/>
      <c r="D859" s="25">
        <v>15030</v>
      </c>
      <c r="E859" s="25">
        <v>69000</v>
      </c>
      <c r="F859" s="25">
        <v>0</v>
      </c>
      <c r="G859" s="15">
        <f t="shared" si="41"/>
        <v>0</v>
      </c>
      <c r="H859" s="16">
        <f t="shared" si="42"/>
        <v>0</v>
      </c>
      <c r="I859" s="16">
        <f>F859/F873</f>
        <v>0</v>
      </c>
    </row>
    <row r="860" spans="1:9" ht="19.5" customHeight="1">
      <c r="A860" s="24">
        <v>65495</v>
      </c>
      <c r="B860" s="483" t="s">
        <v>910</v>
      </c>
      <c r="C860" s="484"/>
      <c r="D860" s="25">
        <v>0</v>
      </c>
      <c r="E860" s="25">
        <v>150000</v>
      </c>
      <c r="F860" s="25">
        <v>0</v>
      </c>
      <c r="G860" s="15" t="e">
        <f t="shared" si="41"/>
        <v>#DIV/0!</v>
      </c>
      <c r="H860" s="16">
        <f t="shared" si="42"/>
        <v>0</v>
      </c>
      <c r="I860" s="16">
        <f>F860/F873</f>
        <v>0</v>
      </c>
    </row>
    <row r="861" spans="1:9" ht="19.5" customHeight="1">
      <c r="A861" s="24">
        <v>66400</v>
      </c>
      <c r="B861" s="483" t="s">
        <v>84</v>
      </c>
      <c r="C861" s="484"/>
      <c r="D861" s="25">
        <v>0</v>
      </c>
      <c r="E861" s="25">
        <v>0</v>
      </c>
      <c r="F861" s="25">
        <v>57470</v>
      </c>
      <c r="G861" s="15" t="e">
        <f t="shared" si="41"/>
        <v>#DIV/0!</v>
      </c>
      <c r="H861" s="16" t="e">
        <f t="shared" si="42"/>
        <v>#DIV/0!</v>
      </c>
      <c r="I861" s="16">
        <f>F861/F873</f>
        <v>0.059700538070447236</v>
      </c>
    </row>
    <row r="862" spans="1:9" ht="19.5" customHeight="1">
      <c r="A862" s="35"/>
      <c r="B862" s="530" t="s">
        <v>85</v>
      </c>
      <c r="C862" s="531"/>
      <c r="D862" s="85">
        <f>D863+D864+D865</f>
        <v>102775.09</v>
      </c>
      <c r="E862" s="36">
        <f>E863+E864+E865</f>
        <v>82578</v>
      </c>
      <c r="F862" s="85">
        <f>F863+F864+F865</f>
        <v>0</v>
      </c>
      <c r="G862" s="20">
        <f t="shared" si="41"/>
        <v>0</v>
      </c>
      <c r="H862" s="21">
        <f t="shared" si="42"/>
        <v>0</v>
      </c>
      <c r="I862" s="21">
        <f>F862/F873</f>
        <v>0</v>
      </c>
    </row>
    <row r="863" spans="1:9" ht="19.5" customHeight="1">
      <c r="A863" s="24">
        <v>73028</v>
      </c>
      <c r="B863" s="483" t="s">
        <v>86</v>
      </c>
      <c r="C863" s="484"/>
      <c r="D863" s="25">
        <v>0</v>
      </c>
      <c r="E863" s="25">
        <v>0</v>
      </c>
      <c r="F863" s="25">
        <v>0</v>
      </c>
      <c r="G863" s="15" t="e">
        <f t="shared" si="41"/>
        <v>#DIV/0!</v>
      </c>
      <c r="H863" s="16" t="e">
        <f t="shared" si="42"/>
        <v>#DIV/0!</v>
      </c>
      <c r="I863" s="16" t="e">
        <f>F863/F862</f>
        <v>#DIV/0!</v>
      </c>
    </row>
    <row r="864" spans="1:9" ht="19.5" customHeight="1">
      <c r="A864" s="24">
        <v>74100</v>
      </c>
      <c r="B864" s="483" t="s">
        <v>87</v>
      </c>
      <c r="C864" s="484"/>
      <c r="D864" s="25">
        <v>102775.09</v>
      </c>
      <c r="E864" s="25">
        <v>67578</v>
      </c>
      <c r="F864" s="25">
        <v>0</v>
      </c>
      <c r="G864" s="15">
        <f t="shared" si="41"/>
        <v>0</v>
      </c>
      <c r="H864" s="16">
        <f t="shared" si="42"/>
        <v>0</v>
      </c>
      <c r="I864" s="16" t="e">
        <f>F864/F862</f>
        <v>#DIV/0!</v>
      </c>
    </row>
    <row r="865" spans="1:9" ht="19.5" customHeight="1">
      <c r="A865" s="24">
        <v>75590</v>
      </c>
      <c r="B865" s="483" t="s">
        <v>88</v>
      </c>
      <c r="C865" s="484"/>
      <c r="D865" s="25">
        <v>0</v>
      </c>
      <c r="E865" s="25">
        <v>15000</v>
      </c>
      <c r="F865" s="25">
        <v>0</v>
      </c>
      <c r="G865" s="15" t="e">
        <f t="shared" si="41"/>
        <v>#DIV/0!</v>
      </c>
      <c r="H865" s="16">
        <f t="shared" si="42"/>
        <v>0</v>
      </c>
      <c r="I865" s="16" t="e">
        <f>F865/F862</f>
        <v>#DIV/0!</v>
      </c>
    </row>
    <row r="866" spans="1:9" ht="19.5" customHeight="1">
      <c r="A866" s="24">
        <v>76095</v>
      </c>
      <c r="B866" s="483" t="s">
        <v>89</v>
      </c>
      <c r="C866" s="484"/>
      <c r="D866" s="25">
        <v>0</v>
      </c>
      <c r="E866" s="25">
        <v>0</v>
      </c>
      <c r="F866" s="25">
        <v>0</v>
      </c>
      <c r="G866" s="15" t="e">
        <f t="shared" si="41"/>
        <v>#DIV/0!</v>
      </c>
      <c r="H866" s="16" t="e">
        <f t="shared" si="42"/>
        <v>#DIV/0!</v>
      </c>
      <c r="I866" s="16">
        <f>E866/E862</f>
        <v>0</v>
      </c>
    </row>
    <row r="867" spans="1:9" ht="19.5" customHeight="1">
      <c r="A867" s="24">
        <v>85019</v>
      </c>
      <c r="B867" s="483" t="s">
        <v>90</v>
      </c>
      <c r="C867" s="484"/>
      <c r="D867" s="25">
        <v>0</v>
      </c>
      <c r="E867" s="25">
        <v>150000</v>
      </c>
      <c r="F867" s="25">
        <v>62080.4</v>
      </c>
      <c r="G867" s="15" t="e">
        <f t="shared" si="41"/>
        <v>#DIV/0!</v>
      </c>
      <c r="H867" s="16">
        <f t="shared" si="42"/>
        <v>0.41386933333333337</v>
      </c>
      <c r="I867" s="16">
        <f>F867/F873</f>
        <v>0.06448987791245159</v>
      </c>
    </row>
    <row r="868" spans="1:9" ht="19.5" customHeight="1">
      <c r="A868" s="35"/>
      <c r="B868" s="530" t="s">
        <v>91</v>
      </c>
      <c r="C868" s="531"/>
      <c r="D868" s="36">
        <f>D869+D870+D871+D872</f>
        <v>54877.02</v>
      </c>
      <c r="E868" s="36">
        <f>E869+E870+E871+E872</f>
        <v>250000</v>
      </c>
      <c r="F868" s="36">
        <f>F869+F870+F871+F872</f>
        <v>12796</v>
      </c>
      <c r="G868" s="20">
        <f t="shared" si="41"/>
        <v>0.23317592682693047</v>
      </c>
      <c r="H868" s="21">
        <f t="shared" si="42"/>
        <v>0.051184</v>
      </c>
      <c r="I868" s="21">
        <f>F868/F873</f>
        <v>0.01329264111970494</v>
      </c>
    </row>
    <row r="869" spans="1:9" ht="19.5" customHeight="1">
      <c r="A869" s="24">
        <v>92095</v>
      </c>
      <c r="B869" s="483" t="s">
        <v>86</v>
      </c>
      <c r="C869" s="484"/>
      <c r="D869" s="25">
        <v>4984</v>
      </c>
      <c r="E869" s="25">
        <v>140000</v>
      </c>
      <c r="F869" s="25">
        <v>12796</v>
      </c>
      <c r="G869" s="15">
        <f t="shared" si="41"/>
        <v>2.567415730337079</v>
      </c>
      <c r="H869" s="16">
        <f t="shared" si="42"/>
        <v>0.0914</v>
      </c>
      <c r="I869" s="16">
        <f>F869/F868</f>
        <v>1</v>
      </c>
    </row>
    <row r="870" spans="1:9" ht="19.5" customHeight="1">
      <c r="A870" s="24">
        <v>92570</v>
      </c>
      <c r="B870" s="483" t="s">
        <v>92</v>
      </c>
      <c r="C870" s="484"/>
      <c r="D870" s="25">
        <v>0</v>
      </c>
      <c r="E870" s="25">
        <v>10000</v>
      </c>
      <c r="F870" s="25">
        <v>0</v>
      </c>
      <c r="G870" s="15" t="e">
        <f t="shared" si="41"/>
        <v>#DIV/0!</v>
      </c>
      <c r="H870" s="16">
        <f t="shared" si="42"/>
        <v>0</v>
      </c>
      <c r="I870" s="16">
        <f>F870/F868</f>
        <v>0</v>
      </c>
    </row>
    <row r="871" spans="1:9" ht="19.5" customHeight="1">
      <c r="A871" s="24">
        <v>93540</v>
      </c>
      <c r="B871" s="483" t="s">
        <v>93</v>
      </c>
      <c r="C871" s="484"/>
      <c r="D871" s="25">
        <v>8380</v>
      </c>
      <c r="E871" s="25">
        <v>50000</v>
      </c>
      <c r="F871" s="25">
        <v>0</v>
      </c>
      <c r="G871" s="15">
        <f t="shared" si="41"/>
        <v>0</v>
      </c>
      <c r="H871" s="16">
        <f t="shared" si="42"/>
        <v>0</v>
      </c>
      <c r="I871" s="16">
        <f>F871/F868</f>
        <v>0</v>
      </c>
    </row>
    <row r="872" spans="1:9" ht="19.5" customHeight="1">
      <c r="A872" s="24">
        <v>94740</v>
      </c>
      <c r="B872" s="483" t="s">
        <v>554</v>
      </c>
      <c r="C872" s="484"/>
      <c r="D872" s="25">
        <v>41513.02</v>
      </c>
      <c r="E872" s="25">
        <v>50000</v>
      </c>
      <c r="F872" s="25">
        <v>0</v>
      </c>
      <c r="G872" s="15">
        <f t="shared" si="41"/>
        <v>0</v>
      </c>
      <c r="H872" s="16">
        <f t="shared" si="42"/>
        <v>0</v>
      </c>
      <c r="I872" s="16">
        <f>F872/F868</f>
        <v>0</v>
      </c>
    </row>
    <row r="873" spans="1:9" ht="32.25" customHeight="1">
      <c r="A873" s="35"/>
      <c r="B873" s="495" t="s">
        <v>95</v>
      </c>
      <c r="C873" s="496"/>
      <c r="D873" s="36">
        <f>D848+D849+D850+D851+D852+D853+D854+D855+D856+D857+D858+D859+D860+D861+D862+D866+D867+D868</f>
        <v>1543265.32</v>
      </c>
      <c r="E873" s="36">
        <f>E848+E849+E850+E851+E852+E853+E854+E855+E856+E857+E858+E859+E860+E861+E862+E867+E868</f>
        <v>5090520.220000001</v>
      </c>
      <c r="F873" s="211">
        <f>F848+F849+F850+F851+F852+F853+F854+F855+F856+F857+F858+F859+F860+F861+F862+F866+F867+F868</f>
        <v>962637.89</v>
      </c>
      <c r="G873" s="20">
        <f t="shared" si="41"/>
        <v>0.6237669424205036</v>
      </c>
      <c r="H873" s="266">
        <f t="shared" si="42"/>
        <v>0.18910403031460699</v>
      </c>
      <c r="I873" s="266">
        <f>SUM(I848+I849+I850+I851+I852+I853+I854+I855+I856+I857+I858+I859+I861+I862+I867+I868)</f>
        <v>0.9999999999999998</v>
      </c>
    </row>
    <row r="874" spans="1:9" ht="13.5" customHeight="1">
      <c r="A874" s="87"/>
      <c r="B874" s="88"/>
      <c r="C874" s="89"/>
      <c r="D874" s="89"/>
      <c r="E874" s="89"/>
      <c r="F874" s="102"/>
      <c r="G874" s="92"/>
      <c r="H874" s="92"/>
      <c r="I874" s="135"/>
    </row>
    <row r="875" spans="1:9" ht="20.25" customHeight="1">
      <c r="A875" s="635" t="s">
        <v>13</v>
      </c>
      <c r="B875" s="635"/>
      <c r="C875" s="635"/>
      <c r="D875" s="635"/>
      <c r="E875" s="635"/>
      <c r="F875" s="635"/>
      <c r="G875" s="635"/>
      <c r="H875" s="635"/>
      <c r="I875" s="635"/>
    </row>
    <row r="876" spans="1:9" ht="20.25" customHeight="1">
      <c r="A876" s="503" t="s">
        <v>321</v>
      </c>
      <c r="B876" s="503"/>
      <c r="C876" s="503"/>
      <c r="D876" s="503"/>
      <c r="E876" s="503"/>
      <c r="F876" s="503"/>
      <c r="G876" s="503"/>
      <c r="H876" s="503"/>
      <c r="I876" s="503"/>
    </row>
    <row r="877" spans="1:9" ht="20.25" customHeight="1">
      <c r="A877" s="1"/>
      <c r="B877" s="40" t="s">
        <v>114</v>
      </c>
      <c r="C877" s="103">
        <v>0.0735</v>
      </c>
      <c r="D877" s="40" t="s">
        <v>14</v>
      </c>
      <c r="E877" s="2"/>
      <c r="F877" s="104"/>
      <c r="G877" s="105"/>
      <c r="H877" s="106"/>
      <c r="I877" s="135"/>
    </row>
    <row r="878" spans="1:9" ht="20.25" customHeight="1">
      <c r="A878" s="1"/>
      <c r="B878" s="40" t="s">
        <v>475</v>
      </c>
      <c r="C878" s="103">
        <v>0.0645</v>
      </c>
      <c r="D878" s="40" t="s">
        <v>14</v>
      </c>
      <c r="E878" s="2"/>
      <c r="F878" s="104"/>
      <c r="G878" s="105"/>
      <c r="H878" s="106"/>
      <c r="I878" s="135"/>
    </row>
    <row r="879" spans="1:9" ht="20.25" customHeight="1">
      <c r="A879" s="1"/>
      <c r="B879" s="2" t="s">
        <v>15</v>
      </c>
      <c r="C879" s="117">
        <v>0.0599</v>
      </c>
      <c r="D879" s="40" t="s">
        <v>14</v>
      </c>
      <c r="E879" s="2"/>
      <c r="F879" s="104"/>
      <c r="G879" s="105"/>
      <c r="H879" s="2"/>
      <c r="I879" s="135"/>
    </row>
    <row r="880" spans="1:9" ht="20.25" customHeight="1">
      <c r="A880" s="1"/>
      <c r="B880" s="2" t="s">
        <v>123</v>
      </c>
      <c r="C880" s="103">
        <v>0.0597</v>
      </c>
      <c r="D880" s="40" t="s">
        <v>16</v>
      </c>
      <c r="E880" s="2"/>
      <c r="F880" s="104"/>
      <c r="G880" s="105"/>
      <c r="H880" s="2"/>
      <c r="I880" s="135"/>
    </row>
    <row r="881" spans="1:9" ht="20.25" customHeight="1">
      <c r="A881" s="1"/>
      <c r="B881" s="2"/>
      <c r="C881" s="103"/>
      <c r="D881" s="40"/>
      <c r="E881" s="2"/>
      <c r="F881" s="104"/>
      <c r="G881" s="105"/>
      <c r="H881" s="2"/>
      <c r="I881" s="135"/>
    </row>
    <row r="882" spans="1:9" ht="20.25" customHeight="1">
      <c r="A882" s="1"/>
      <c r="B882" s="2"/>
      <c r="C882" s="103"/>
      <c r="D882" s="40"/>
      <c r="E882" s="2"/>
      <c r="F882" s="104"/>
      <c r="G882" s="105"/>
      <c r="H882" s="2"/>
      <c r="I882" s="443">
        <v>12</v>
      </c>
    </row>
    <row r="883" spans="1:9" ht="20.25" customHeight="1">
      <c r="A883" s="1"/>
      <c r="B883" s="2"/>
      <c r="C883" s="103"/>
      <c r="D883" s="40"/>
      <c r="E883" s="2"/>
      <c r="F883" s="104"/>
      <c r="G883" s="105"/>
      <c r="H883" s="2"/>
      <c r="I883" s="443"/>
    </row>
    <row r="884" spans="1:9" ht="20.25" customHeight="1">
      <c r="A884" s="1"/>
      <c r="B884" s="2"/>
      <c r="C884" s="103"/>
      <c r="D884" s="40"/>
      <c r="E884" s="2"/>
      <c r="F884" s="104"/>
      <c r="G884" s="105"/>
      <c r="H884" s="2"/>
      <c r="I884" s="272"/>
    </row>
    <row r="885" spans="1:8" ht="20.25" customHeight="1">
      <c r="A885" s="1"/>
      <c r="B885" s="2"/>
      <c r="C885" s="103"/>
      <c r="D885" s="487" t="s">
        <v>682</v>
      </c>
      <c r="E885" s="487"/>
      <c r="F885" s="487"/>
      <c r="G885" s="105"/>
      <c r="H885" s="2"/>
    </row>
    <row r="886" spans="1:9" ht="20.25" customHeight="1">
      <c r="A886" s="40"/>
      <c r="B886" s="107"/>
      <c r="C886" s="40"/>
      <c r="D886" s="218"/>
      <c r="E886" s="218"/>
      <c r="F886" s="218"/>
      <c r="G886" s="40"/>
      <c r="H886" s="2"/>
      <c r="I886" s="135"/>
    </row>
    <row r="887" spans="1:9" ht="20.25" customHeight="1">
      <c r="A887" s="22" t="s">
        <v>683</v>
      </c>
      <c r="B887" s="491" t="s">
        <v>688</v>
      </c>
      <c r="C887" s="492"/>
      <c r="D887" s="5" t="s">
        <v>686</v>
      </c>
      <c r="E887" s="5" t="s">
        <v>712</v>
      </c>
      <c r="F887" s="5" t="s">
        <v>686</v>
      </c>
      <c r="G887" s="510" t="s">
        <v>713</v>
      </c>
      <c r="H887" s="511"/>
      <c r="I887" s="6" t="s">
        <v>714</v>
      </c>
    </row>
    <row r="888" spans="1:9" ht="20.25" customHeight="1">
      <c r="A888" s="23" t="s">
        <v>97</v>
      </c>
      <c r="B888" s="493"/>
      <c r="C888" s="494"/>
      <c r="D888" s="7" t="s">
        <v>656</v>
      </c>
      <c r="E888" s="7" t="s">
        <v>715</v>
      </c>
      <c r="F888" s="7" t="s">
        <v>657</v>
      </c>
      <c r="G888" s="8" t="s">
        <v>706</v>
      </c>
      <c r="H888" s="9" t="s">
        <v>707</v>
      </c>
      <c r="I888" s="10" t="s">
        <v>717</v>
      </c>
    </row>
    <row r="889" spans="1:9" ht="20.25" customHeight="1">
      <c r="A889" s="220">
        <v>1</v>
      </c>
      <c r="B889" s="550">
        <v>2</v>
      </c>
      <c r="C889" s="551"/>
      <c r="D889" s="221">
        <v>3</v>
      </c>
      <c r="E889" s="221">
        <v>4</v>
      </c>
      <c r="F889" s="221">
        <v>5</v>
      </c>
      <c r="G889" s="221">
        <v>6</v>
      </c>
      <c r="H889" s="221">
        <v>7</v>
      </c>
      <c r="I889" s="220">
        <v>8</v>
      </c>
    </row>
    <row r="890" spans="1:9" ht="20.25" customHeight="1">
      <c r="A890" s="63">
        <v>3110</v>
      </c>
      <c r="B890" s="530" t="s">
        <v>128</v>
      </c>
      <c r="C890" s="531"/>
      <c r="D890" s="36">
        <f>D891+D892+D893+D894+D895+D896+D897</f>
        <v>149272.11</v>
      </c>
      <c r="E890" s="18">
        <f>E891+E892+E893+E894+E895+E896+E897</f>
        <v>712578</v>
      </c>
      <c r="F890" s="36">
        <f>F891+F892+F893+F894+F895+F896+F897</f>
        <v>191169.5</v>
      </c>
      <c r="G890" s="20">
        <f>F890/D890</f>
        <v>1.2806779511591282</v>
      </c>
      <c r="H890" s="21">
        <f>F890/E890</f>
        <v>0.26827870071767584</v>
      </c>
      <c r="I890" s="21">
        <f>F890/F920</f>
        <v>0.19858921198291915</v>
      </c>
    </row>
    <row r="891" spans="1:9" ht="20.25" customHeight="1">
      <c r="A891" s="4">
        <v>31110</v>
      </c>
      <c r="B891" s="497" t="s">
        <v>129</v>
      </c>
      <c r="C891" s="498"/>
      <c r="D891" s="25">
        <v>0</v>
      </c>
      <c r="E891" s="25">
        <v>0</v>
      </c>
      <c r="F891" s="25">
        <v>0</v>
      </c>
      <c r="G891" s="15" t="e">
        <f>F891/D891</f>
        <v>#DIV/0!</v>
      </c>
      <c r="H891" s="16" t="e">
        <f>F891/E891</f>
        <v>#DIV/0!</v>
      </c>
      <c r="I891" s="16">
        <f>F891/F890</f>
        <v>0</v>
      </c>
    </row>
    <row r="892" spans="1:9" ht="20.25" customHeight="1">
      <c r="A892" s="4">
        <v>31120</v>
      </c>
      <c r="B892" s="483" t="s">
        <v>130</v>
      </c>
      <c r="C892" s="484"/>
      <c r="D892" s="25">
        <v>0</v>
      </c>
      <c r="E892" s="25">
        <f>45000+472578</f>
        <v>517578</v>
      </c>
      <c r="F892" s="25">
        <v>119293.1</v>
      </c>
      <c r="G892" s="15" t="e">
        <f aca="true" t="shared" si="43" ref="G892:G920">F892/D892</f>
        <v>#DIV/0!</v>
      </c>
      <c r="H892" s="16">
        <f aca="true" t="shared" si="44" ref="H892:H920">F892/E892</f>
        <v>0.2304833281167283</v>
      </c>
      <c r="I892" s="16">
        <f>F892/F890</f>
        <v>0.6240174295585855</v>
      </c>
    </row>
    <row r="893" spans="1:9" ht="20.25" customHeight="1">
      <c r="A893" s="4">
        <v>31121</v>
      </c>
      <c r="B893" s="497" t="s">
        <v>883</v>
      </c>
      <c r="C893" s="498"/>
      <c r="D893" s="25">
        <v>46497.02</v>
      </c>
      <c r="E893" s="25">
        <v>0</v>
      </c>
      <c r="F893" s="25">
        <v>9796</v>
      </c>
      <c r="G893" s="15">
        <f t="shared" si="43"/>
        <v>0.21068016832046443</v>
      </c>
      <c r="H893" s="16" t="e">
        <f t="shared" si="44"/>
        <v>#DIV/0!</v>
      </c>
      <c r="I893" s="16">
        <f>F893/F890</f>
        <v>0.05124248376440803</v>
      </c>
    </row>
    <row r="894" spans="1:9" ht="20.25" customHeight="1">
      <c r="A894" s="4">
        <v>31122</v>
      </c>
      <c r="B894" s="483" t="s">
        <v>884</v>
      </c>
      <c r="C894" s="484"/>
      <c r="D894" s="25">
        <v>102775.09</v>
      </c>
      <c r="E894" s="25">
        <v>0</v>
      </c>
      <c r="F894" s="25">
        <v>0</v>
      </c>
      <c r="G894" s="15">
        <f t="shared" si="43"/>
        <v>0</v>
      </c>
      <c r="H894" s="16" t="e">
        <f t="shared" si="44"/>
        <v>#DIV/0!</v>
      </c>
      <c r="I894" s="16">
        <f>F894/F890</f>
        <v>0</v>
      </c>
    </row>
    <row r="895" spans="1:9" ht="20.25" customHeight="1">
      <c r="A895" s="4">
        <v>31123</v>
      </c>
      <c r="B895" s="497" t="s">
        <v>885</v>
      </c>
      <c r="C895" s="498"/>
      <c r="D895" s="25">
        <v>0</v>
      </c>
      <c r="E895" s="25">
        <v>0</v>
      </c>
      <c r="F895" s="25">
        <v>62080.4</v>
      </c>
      <c r="G895" s="15" t="e">
        <f t="shared" si="43"/>
        <v>#DIV/0!</v>
      </c>
      <c r="H895" s="16" t="e">
        <f t="shared" si="44"/>
        <v>#DIV/0!</v>
      </c>
      <c r="I895" s="16">
        <f>F895/F890</f>
        <v>0.32474008667700655</v>
      </c>
    </row>
    <row r="896" spans="1:9" ht="20.25" customHeight="1">
      <c r="A896" s="4">
        <v>31124</v>
      </c>
      <c r="B896" s="483" t="s">
        <v>886</v>
      </c>
      <c r="C896" s="484"/>
      <c r="D896" s="25">
        <v>0</v>
      </c>
      <c r="E896" s="25">
        <v>0</v>
      </c>
      <c r="F896" s="25">
        <v>0</v>
      </c>
      <c r="G896" s="15" t="e">
        <f t="shared" si="43"/>
        <v>#DIV/0!</v>
      </c>
      <c r="H896" s="16" t="e">
        <f t="shared" si="44"/>
        <v>#DIV/0!</v>
      </c>
      <c r="I896" s="16">
        <f>F896/F890</f>
        <v>0</v>
      </c>
    </row>
    <row r="897" spans="1:9" ht="20.25" customHeight="1">
      <c r="A897" s="4">
        <v>31130</v>
      </c>
      <c r="B897" s="497" t="s">
        <v>887</v>
      </c>
      <c r="C897" s="498"/>
      <c r="D897" s="25">
        <v>0</v>
      </c>
      <c r="E897" s="25">
        <v>195000</v>
      </c>
      <c r="F897" s="25">
        <v>0</v>
      </c>
      <c r="G897" s="15" t="e">
        <f t="shared" si="43"/>
        <v>#DIV/0!</v>
      </c>
      <c r="H897" s="16">
        <f t="shared" si="44"/>
        <v>0</v>
      </c>
      <c r="I897" s="16">
        <f>F897/F890</f>
        <v>0</v>
      </c>
    </row>
    <row r="898" spans="1:9" ht="20.25" customHeight="1">
      <c r="A898" s="17">
        <v>3120</v>
      </c>
      <c r="B898" s="530" t="s">
        <v>888</v>
      </c>
      <c r="C898" s="531"/>
      <c r="D898" s="36">
        <f>D899+D900+D901+D902</f>
        <v>851393.57</v>
      </c>
      <c r="E898" s="36">
        <f>E899+E900+E901+E902</f>
        <v>3419269</v>
      </c>
      <c r="F898" s="36">
        <f>F899+F900+F901+F902</f>
        <v>493487.31</v>
      </c>
      <c r="G898" s="20">
        <f t="shared" si="43"/>
        <v>0.5796230173549467</v>
      </c>
      <c r="H898" s="21">
        <f t="shared" si="44"/>
        <v>0.14432538358345015</v>
      </c>
      <c r="I898" s="21">
        <f>F898/F920</f>
        <v>0.5126406462143309</v>
      </c>
    </row>
    <row r="899" spans="1:9" ht="20.25" customHeight="1">
      <c r="A899" s="62">
        <v>31210</v>
      </c>
      <c r="B899" s="497" t="s">
        <v>889</v>
      </c>
      <c r="C899" s="498"/>
      <c r="D899" s="25">
        <v>0</v>
      </c>
      <c r="E899" s="25">
        <v>0</v>
      </c>
      <c r="F899" s="25">
        <v>0</v>
      </c>
      <c r="G899" s="15" t="e">
        <f t="shared" si="43"/>
        <v>#DIV/0!</v>
      </c>
      <c r="H899" s="16" t="e">
        <f t="shared" si="44"/>
        <v>#DIV/0!</v>
      </c>
      <c r="I899" s="16">
        <f>F899/F898</f>
        <v>0</v>
      </c>
    </row>
    <row r="900" spans="1:9" ht="20.25" customHeight="1">
      <c r="A900" s="4">
        <v>31230</v>
      </c>
      <c r="B900" s="483" t="s">
        <v>890</v>
      </c>
      <c r="C900" s="484"/>
      <c r="D900" s="25">
        <v>843013.57</v>
      </c>
      <c r="E900" s="25">
        <f>604577+2699692</f>
        <v>3304269</v>
      </c>
      <c r="F900" s="25">
        <v>366099.31</v>
      </c>
      <c r="G900" s="15">
        <f t="shared" si="43"/>
        <v>0.4342745158894655</v>
      </c>
      <c r="H900" s="16">
        <f t="shared" si="44"/>
        <v>0.11079585530112712</v>
      </c>
      <c r="I900" s="16">
        <f>F900/F898</f>
        <v>0.7418616498973398</v>
      </c>
    </row>
    <row r="901" spans="1:9" ht="20.25" customHeight="1">
      <c r="A901" s="4">
        <v>31250</v>
      </c>
      <c r="B901" s="497" t="s">
        <v>891</v>
      </c>
      <c r="C901" s="498"/>
      <c r="D901" s="25">
        <v>0</v>
      </c>
      <c r="E901" s="110">
        <v>115000</v>
      </c>
      <c r="F901" s="25">
        <v>9888</v>
      </c>
      <c r="G901" s="15" t="e">
        <f t="shared" si="43"/>
        <v>#DIV/0!</v>
      </c>
      <c r="H901" s="16">
        <f t="shared" si="44"/>
        <v>0.08598260869565218</v>
      </c>
      <c r="I901" s="16">
        <f>F901/F898</f>
        <v>0.02003698940100405</v>
      </c>
    </row>
    <row r="902" spans="1:9" ht="20.25" customHeight="1">
      <c r="A902" s="4">
        <v>31260</v>
      </c>
      <c r="B902" s="483" t="s">
        <v>892</v>
      </c>
      <c r="C902" s="484"/>
      <c r="D902" s="25">
        <v>8380</v>
      </c>
      <c r="E902" s="25">
        <v>0</v>
      </c>
      <c r="F902" s="25">
        <v>117500</v>
      </c>
      <c r="G902" s="15">
        <f t="shared" si="43"/>
        <v>14.021479713603819</v>
      </c>
      <c r="H902" s="16" t="e">
        <f t="shared" si="44"/>
        <v>#DIV/0!</v>
      </c>
      <c r="I902" s="16">
        <f>F902/F898</f>
        <v>0.23810136070165613</v>
      </c>
    </row>
    <row r="903" spans="1:9" ht="20.25" customHeight="1">
      <c r="A903" s="11">
        <v>3150</v>
      </c>
      <c r="B903" s="564" t="s">
        <v>325</v>
      </c>
      <c r="C903" s="565"/>
      <c r="D903" s="36">
        <f>D904</f>
        <v>0</v>
      </c>
      <c r="E903" s="36">
        <f>E904</f>
        <v>0</v>
      </c>
      <c r="F903" s="36">
        <f>F904</f>
        <v>0</v>
      </c>
      <c r="G903" s="20" t="e">
        <f t="shared" si="43"/>
        <v>#DIV/0!</v>
      </c>
      <c r="H903" s="21" t="e">
        <f t="shared" si="44"/>
        <v>#DIV/0!</v>
      </c>
      <c r="I903" s="21">
        <f>F903/F920</f>
        <v>0</v>
      </c>
    </row>
    <row r="904" spans="1:9" ht="20.25" customHeight="1">
      <c r="A904" s="4">
        <v>31510</v>
      </c>
      <c r="B904" s="566" t="s">
        <v>326</v>
      </c>
      <c r="C904" s="567"/>
      <c r="D904" s="25">
        <v>0</v>
      </c>
      <c r="E904" s="25">
        <v>0</v>
      </c>
      <c r="F904" s="25">
        <v>0</v>
      </c>
      <c r="G904" s="15" t="e">
        <f t="shared" si="43"/>
        <v>#DIV/0!</v>
      </c>
      <c r="H904" s="16" t="e">
        <f t="shared" si="44"/>
        <v>#DIV/0!</v>
      </c>
      <c r="I904" s="16" t="e">
        <f>F904/F903</f>
        <v>#DIV/0!</v>
      </c>
    </row>
    <row r="905" spans="1:9" ht="20.25" customHeight="1">
      <c r="A905" s="17">
        <v>3160</v>
      </c>
      <c r="B905" s="564" t="s">
        <v>895</v>
      </c>
      <c r="C905" s="565"/>
      <c r="D905" s="36">
        <f>D906+D907+D908+D909</f>
        <v>14627</v>
      </c>
      <c r="E905" s="36">
        <f>E906+E907+E908+E909</f>
        <v>10000</v>
      </c>
      <c r="F905" s="36">
        <f>F906+F907+F908+F909</f>
        <v>17995</v>
      </c>
      <c r="G905" s="20">
        <f t="shared" si="43"/>
        <v>1.2302591098653175</v>
      </c>
      <c r="H905" s="21">
        <f t="shared" si="44"/>
        <v>1.7995</v>
      </c>
      <c r="I905" s="21">
        <f>F905/F920</f>
        <v>0.018693425832220254</v>
      </c>
    </row>
    <row r="906" spans="1:9" ht="20.25" customHeight="1">
      <c r="A906" s="4">
        <v>31620</v>
      </c>
      <c r="B906" s="483" t="s">
        <v>495</v>
      </c>
      <c r="C906" s="484"/>
      <c r="D906" s="25">
        <v>0</v>
      </c>
      <c r="E906" s="25">
        <v>0</v>
      </c>
      <c r="F906" s="25">
        <v>8000</v>
      </c>
      <c r="G906" s="15" t="e">
        <f t="shared" si="43"/>
        <v>#DIV/0!</v>
      </c>
      <c r="H906" s="16" t="e">
        <f t="shared" si="44"/>
        <v>#DIV/0!</v>
      </c>
      <c r="I906" s="16">
        <f>F906/F905</f>
        <v>0.44456793553764934</v>
      </c>
    </row>
    <row r="907" spans="1:9" ht="20.25" customHeight="1">
      <c r="A907" s="4">
        <v>31640</v>
      </c>
      <c r="B907" s="497" t="s">
        <v>282</v>
      </c>
      <c r="C907" s="498"/>
      <c r="D907" s="25">
        <v>2640</v>
      </c>
      <c r="E907" s="25">
        <v>0</v>
      </c>
      <c r="F907" s="25">
        <v>0</v>
      </c>
      <c r="G907" s="15">
        <f t="shared" si="43"/>
        <v>0</v>
      </c>
      <c r="H907" s="16" t="e">
        <f t="shared" si="44"/>
        <v>#DIV/0!</v>
      </c>
      <c r="I907" s="16">
        <f>F907/F905</f>
        <v>0</v>
      </c>
    </row>
    <row r="908" spans="1:9" ht="20.25" customHeight="1">
      <c r="A908" s="4">
        <v>31680</v>
      </c>
      <c r="B908" s="483" t="s">
        <v>496</v>
      </c>
      <c r="C908" s="484"/>
      <c r="D908" s="25">
        <v>0</v>
      </c>
      <c r="E908" s="25">
        <v>0</v>
      </c>
      <c r="F908" s="25">
        <v>0</v>
      </c>
      <c r="G908" s="15" t="e">
        <f t="shared" si="43"/>
        <v>#DIV/0!</v>
      </c>
      <c r="H908" s="16" t="e">
        <f t="shared" si="44"/>
        <v>#DIV/0!</v>
      </c>
      <c r="I908" s="16">
        <f>F908/F905</f>
        <v>0</v>
      </c>
    </row>
    <row r="909" spans="1:9" ht="20.25" customHeight="1">
      <c r="A909" s="4">
        <v>31690</v>
      </c>
      <c r="B909" s="497" t="s">
        <v>497</v>
      </c>
      <c r="C909" s="498"/>
      <c r="D909" s="25">
        <v>11987</v>
      </c>
      <c r="E909" s="25">
        <v>10000</v>
      </c>
      <c r="F909" s="25">
        <v>9995</v>
      </c>
      <c r="G909" s="15">
        <f t="shared" si="43"/>
        <v>0.8338199716359389</v>
      </c>
      <c r="H909" s="16">
        <f t="shared" si="44"/>
        <v>0.9995</v>
      </c>
      <c r="I909" s="16">
        <f>F909/F905</f>
        <v>0.5554320644623506</v>
      </c>
    </row>
    <row r="910" spans="1:9" ht="20.25" customHeight="1">
      <c r="A910" s="17">
        <v>3170</v>
      </c>
      <c r="B910" s="530" t="s">
        <v>498</v>
      </c>
      <c r="C910" s="531"/>
      <c r="D910" s="36">
        <f>D911</f>
        <v>0</v>
      </c>
      <c r="E910" s="36">
        <f>E911</f>
        <v>65000</v>
      </c>
      <c r="F910" s="36">
        <f>F911</f>
        <v>0</v>
      </c>
      <c r="G910" s="20" t="e">
        <f t="shared" si="43"/>
        <v>#DIV/0!</v>
      </c>
      <c r="H910" s="21">
        <f t="shared" si="44"/>
        <v>0</v>
      </c>
      <c r="I910" s="21">
        <f>F910/F920</f>
        <v>0</v>
      </c>
    </row>
    <row r="911" spans="1:9" ht="20.25" customHeight="1">
      <c r="A911" s="4">
        <v>31700</v>
      </c>
      <c r="B911" s="497" t="s">
        <v>499</v>
      </c>
      <c r="C911" s="498"/>
      <c r="D911" s="25"/>
      <c r="E911" s="25">
        <f>50000+15000</f>
        <v>65000</v>
      </c>
      <c r="F911" s="25">
        <v>0</v>
      </c>
      <c r="G911" s="15" t="e">
        <f t="shared" si="43"/>
        <v>#DIV/0!</v>
      </c>
      <c r="H911" s="16">
        <f t="shared" si="44"/>
        <v>0</v>
      </c>
      <c r="I911" s="16" t="e">
        <f>F911/F910</f>
        <v>#DIV/0!</v>
      </c>
    </row>
    <row r="912" spans="1:9" ht="20.25" customHeight="1">
      <c r="A912" s="17">
        <v>3190</v>
      </c>
      <c r="B912" s="530" t="s">
        <v>500</v>
      </c>
      <c r="C912" s="531"/>
      <c r="D912" s="36">
        <f>D913</f>
        <v>130641.39</v>
      </c>
      <c r="E912" s="36">
        <f>E913</f>
        <v>636850.22</v>
      </c>
      <c r="F912" s="36">
        <f>F913</f>
        <v>254986.08</v>
      </c>
      <c r="G912" s="20">
        <f t="shared" si="43"/>
        <v>1.9518016457112097</v>
      </c>
      <c r="H912" s="21">
        <f t="shared" si="44"/>
        <v>0.400386263507925</v>
      </c>
      <c r="I912" s="21">
        <f>F912/F920</f>
        <v>0.264882654889057</v>
      </c>
    </row>
    <row r="913" spans="1:9" ht="20.25" customHeight="1">
      <c r="A913" s="62">
        <v>31900</v>
      </c>
      <c r="B913" s="231" t="s">
        <v>500</v>
      </c>
      <c r="C913" s="232"/>
      <c r="D913" s="25">
        <v>130641.39</v>
      </c>
      <c r="E913" s="25">
        <f>250000+458000-71149.78</f>
        <v>636850.22</v>
      </c>
      <c r="F913" s="25">
        <v>254986.08</v>
      </c>
      <c r="G913" s="15">
        <f t="shared" si="43"/>
        <v>1.9518016457112097</v>
      </c>
      <c r="H913" s="16">
        <f t="shared" si="44"/>
        <v>0.400386263507925</v>
      </c>
      <c r="I913" s="16">
        <f>F913/F912</f>
        <v>1</v>
      </c>
    </row>
    <row r="914" spans="1:9" ht="20.25" customHeight="1">
      <c r="A914" s="17">
        <v>3210</v>
      </c>
      <c r="B914" s="530" t="s">
        <v>501</v>
      </c>
      <c r="C914" s="531"/>
      <c r="D914" s="36">
        <f>D915</f>
        <v>98991.25</v>
      </c>
      <c r="E914" s="36">
        <f>E915</f>
        <v>0</v>
      </c>
      <c r="F914" s="36">
        <f>F915</f>
        <v>0</v>
      </c>
      <c r="G914" s="20">
        <f t="shared" si="43"/>
        <v>0</v>
      </c>
      <c r="H914" s="21" t="e">
        <f t="shared" si="44"/>
        <v>#DIV/0!</v>
      </c>
      <c r="I914" s="21">
        <f>F914/F920</f>
        <v>0</v>
      </c>
    </row>
    <row r="915" spans="1:9" ht="20.25" customHeight="1">
      <c r="A915" s="4">
        <v>32100</v>
      </c>
      <c r="B915" s="497" t="s">
        <v>501</v>
      </c>
      <c r="C915" s="498"/>
      <c r="D915" s="25">
        <v>98991.25</v>
      </c>
      <c r="E915" s="25">
        <v>0</v>
      </c>
      <c r="F915" s="25">
        <v>0</v>
      </c>
      <c r="G915" s="15">
        <f t="shared" si="43"/>
        <v>0</v>
      </c>
      <c r="H915" s="16" t="e">
        <f t="shared" si="44"/>
        <v>#DIV/0!</v>
      </c>
      <c r="I915" s="16" t="e">
        <f>F915/F914</f>
        <v>#DIV/0!</v>
      </c>
    </row>
    <row r="916" spans="1:9" ht="20.25" customHeight="1">
      <c r="A916" s="17">
        <v>3320</v>
      </c>
      <c r="B916" s="530" t="s">
        <v>503</v>
      </c>
      <c r="C916" s="531"/>
      <c r="D916" s="36">
        <f>D917</f>
        <v>248340</v>
      </c>
      <c r="E916" s="36">
        <f>E917</f>
        <v>246823</v>
      </c>
      <c r="F916" s="36">
        <f>F917</f>
        <v>5000</v>
      </c>
      <c r="G916" s="20">
        <f t="shared" si="43"/>
        <v>0.02013368768623661</v>
      </c>
      <c r="H916" s="21">
        <f t="shared" si="44"/>
        <v>0.020257431438723297</v>
      </c>
      <c r="I916" s="21">
        <f>F916/F920</f>
        <v>0.005194061081472702</v>
      </c>
    </row>
    <row r="917" spans="1:9" ht="20.25" customHeight="1">
      <c r="A917" s="4">
        <v>33200</v>
      </c>
      <c r="B917" s="497" t="s">
        <v>503</v>
      </c>
      <c r="C917" s="498"/>
      <c r="D917" s="25">
        <v>248340</v>
      </c>
      <c r="E917" s="25">
        <v>246823</v>
      </c>
      <c r="F917" s="25">
        <v>5000</v>
      </c>
      <c r="G917" s="15">
        <f t="shared" si="43"/>
        <v>0.02013368768623661</v>
      </c>
      <c r="H917" s="16">
        <f t="shared" si="44"/>
        <v>0.020257431438723297</v>
      </c>
      <c r="I917" s="16">
        <f>F917/F916</f>
        <v>1</v>
      </c>
    </row>
    <row r="918" spans="1:9" ht="20.25" customHeight="1">
      <c r="A918" s="17">
        <v>3400</v>
      </c>
      <c r="B918" s="530" t="s">
        <v>504</v>
      </c>
      <c r="C918" s="531"/>
      <c r="D918" s="36">
        <f>D919</f>
        <v>50000</v>
      </c>
      <c r="E918" s="36">
        <f>E919</f>
        <v>0</v>
      </c>
      <c r="F918" s="36">
        <f>F919</f>
        <v>0</v>
      </c>
      <c r="G918" s="20">
        <f t="shared" si="43"/>
        <v>0</v>
      </c>
      <c r="H918" s="21" t="e">
        <f t="shared" si="44"/>
        <v>#DIV/0!</v>
      </c>
      <c r="I918" s="21">
        <f>F918/F920</f>
        <v>0</v>
      </c>
    </row>
    <row r="919" spans="1:9" ht="20.25" customHeight="1">
      <c r="A919" s="4">
        <v>34000</v>
      </c>
      <c r="B919" s="497" t="s">
        <v>504</v>
      </c>
      <c r="C919" s="498"/>
      <c r="D919" s="25">
        <v>50000</v>
      </c>
      <c r="E919" s="25">
        <v>0</v>
      </c>
      <c r="F919" s="25">
        <v>0</v>
      </c>
      <c r="G919" s="15">
        <f t="shared" si="43"/>
        <v>0</v>
      </c>
      <c r="H919" s="16" t="e">
        <f t="shared" si="44"/>
        <v>#DIV/0!</v>
      </c>
      <c r="I919" s="16" t="e">
        <f>F919/F918</f>
        <v>#DIV/0!</v>
      </c>
    </row>
    <row r="920" spans="1:9" ht="34.5" customHeight="1">
      <c r="A920" s="11"/>
      <c r="B920" s="495" t="s">
        <v>95</v>
      </c>
      <c r="C920" s="496"/>
      <c r="D920" s="36">
        <f>D890+D898+D903+D905+D910+D912+D914+D916+D918</f>
        <v>1543265.3199999998</v>
      </c>
      <c r="E920" s="36">
        <f>E890+E898+E903+E905+E910+E912+E914+E916+E918</f>
        <v>5090520.22</v>
      </c>
      <c r="F920" s="211">
        <f>F890+F898+F903+F905+F910+F912+F914+F916+F918</f>
        <v>962637.89</v>
      </c>
      <c r="G920" s="212">
        <f t="shared" si="43"/>
        <v>0.6237669424205037</v>
      </c>
      <c r="H920" s="213">
        <f t="shared" si="44"/>
        <v>0.18910403031460704</v>
      </c>
      <c r="I920" s="266">
        <f>I890+I898+I903+I905+I910+I912+I914+I916+I918</f>
        <v>1</v>
      </c>
    </row>
    <row r="921" spans="1:9" ht="20.25" customHeight="1">
      <c r="A921" s="40"/>
      <c r="B921" s="40"/>
      <c r="C921" s="40"/>
      <c r="D921" s="40"/>
      <c r="E921" s="40"/>
      <c r="F921" s="40"/>
      <c r="G921" s="40"/>
      <c r="H921" s="40"/>
      <c r="I921" s="219"/>
    </row>
    <row r="922" spans="1:9" ht="20.25" customHeight="1">
      <c r="A922" s="39"/>
      <c r="B922" s="486" t="s">
        <v>618</v>
      </c>
      <c r="C922" s="486"/>
      <c r="D922" s="486"/>
      <c r="E922" s="486"/>
      <c r="F922" s="486"/>
      <c r="G922" s="486"/>
      <c r="H922" s="486"/>
      <c r="I922" s="486"/>
    </row>
    <row r="923" spans="1:9" ht="20.25" customHeight="1">
      <c r="A923" s="486" t="s">
        <v>827</v>
      </c>
      <c r="B923" s="486"/>
      <c r="C923" s="486"/>
      <c r="D923" s="486"/>
      <c r="E923" s="486"/>
      <c r="F923" s="486"/>
      <c r="G923" s="486"/>
      <c r="H923" s="486"/>
      <c r="I923" s="486"/>
    </row>
    <row r="924" spans="1:9" ht="20.25" customHeight="1">
      <c r="A924" s="39"/>
      <c r="B924" s="39"/>
      <c r="C924" s="39"/>
      <c r="D924" s="39"/>
      <c r="E924" s="39"/>
      <c r="F924" s="39"/>
      <c r="G924" s="39"/>
      <c r="H924" s="39"/>
      <c r="I924" s="39"/>
    </row>
    <row r="925" spans="1:9" ht="20.25" customHeight="1">
      <c r="A925" s="39"/>
      <c r="B925" s="39"/>
      <c r="C925" s="39"/>
      <c r="E925" s="487" t="s">
        <v>682</v>
      </c>
      <c r="F925" s="487"/>
      <c r="G925" s="487"/>
      <c r="H925" s="39"/>
      <c r="I925" s="135"/>
    </row>
    <row r="926" spans="1:9" ht="20.25" customHeight="1">
      <c r="A926" s="39"/>
      <c r="B926" s="39"/>
      <c r="C926" s="39"/>
      <c r="E926" s="41"/>
      <c r="F926" s="41"/>
      <c r="G926" s="39"/>
      <c r="H926" s="39"/>
      <c r="I926" s="135"/>
    </row>
    <row r="927" spans="1:9" ht="20.25" customHeight="1">
      <c r="A927" s="471" t="s">
        <v>285</v>
      </c>
      <c r="B927" s="632"/>
      <c r="C927" s="632"/>
      <c r="D927" s="540"/>
      <c r="E927" s="383" t="s">
        <v>712</v>
      </c>
      <c r="F927" s="378" t="s">
        <v>505</v>
      </c>
      <c r="G927" s="378" t="s">
        <v>686</v>
      </c>
      <c r="H927" s="640" t="s">
        <v>685</v>
      </c>
      <c r="I927" s="641"/>
    </row>
    <row r="928" spans="1:9" ht="20.25" customHeight="1">
      <c r="A928" s="472" t="s">
        <v>286</v>
      </c>
      <c r="B928" s="642" t="s">
        <v>506</v>
      </c>
      <c r="C928" s="642"/>
      <c r="D928" s="643"/>
      <c r="E928" s="384" t="s">
        <v>715</v>
      </c>
      <c r="F928" s="379" t="s">
        <v>657</v>
      </c>
      <c r="G928" s="379" t="s">
        <v>657</v>
      </c>
      <c r="H928" s="381" t="s">
        <v>283</v>
      </c>
      <c r="I928" s="376" t="s">
        <v>284</v>
      </c>
    </row>
    <row r="929" spans="1:9" ht="20.25" customHeight="1">
      <c r="A929" s="473" t="s">
        <v>287</v>
      </c>
      <c r="B929" s="652"/>
      <c r="C929" s="652"/>
      <c r="D929" s="542"/>
      <c r="E929" s="385">
        <v>1</v>
      </c>
      <c r="F929" s="380">
        <v>2</v>
      </c>
      <c r="G929" s="380">
        <v>3</v>
      </c>
      <c r="H929" s="375">
        <v>4</v>
      </c>
      <c r="I929" s="375">
        <v>5</v>
      </c>
    </row>
    <row r="930" spans="1:9" ht="20.25" customHeight="1">
      <c r="A930" s="386"/>
      <c r="B930" s="650" t="s">
        <v>145</v>
      </c>
      <c r="C930" s="651"/>
      <c r="D930" s="651"/>
      <c r="E930" s="66">
        <f>E931+E932+E940+E941</f>
        <v>575672.88</v>
      </c>
      <c r="F930" s="66">
        <f>F931+F932+F940+F941</f>
        <v>215211.93</v>
      </c>
      <c r="G930" s="66">
        <f>G931+G932+G940+G941</f>
        <v>70766</v>
      </c>
      <c r="H930" s="21">
        <f>G930/E930</f>
        <v>0.12292745143735102</v>
      </c>
      <c r="I930" s="21">
        <f>G930/F930</f>
        <v>0.328820061229877</v>
      </c>
    </row>
    <row r="931" spans="1:9" ht="20.25" customHeight="1">
      <c r="A931" s="395">
        <v>85943</v>
      </c>
      <c r="B931" s="644" t="s">
        <v>288</v>
      </c>
      <c r="C931" s="645"/>
      <c r="D931" s="646"/>
      <c r="E931" s="361">
        <v>219672.36</v>
      </c>
      <c r="F931" s="361">
        <v>40850</v>
      </c>
      <c r="G931" s="361">
        <v>0</v>
      </c>
      <c r="H931" s="406">
        <f aca="true" t="shared" si="45" ref="H931:H944">G931/E931</f>
        <v>0</v>
      </c>
      <c r="I931" s="406">
        <f aca="true" t="shared" si="46" ref="I931:I944">G931/F931</f>
        <v>0</v>
      </c>
    </row>
    <row r="932" spans="1:9" ht="20.25" customHeight="1">
      <c r="A932" s="394">
        <v>85944</v>
      </c>
      <c r="B932" s="647" t="s">
        <v>289</v>
      </c>
      <c r="C932" s="648"/>
      <c r="D932" s="649"/>
      <c r="E932" s="361">
        <v>356000.52</v>
      </c>
      <c r="F932" s="361">
        <v>114361.93</v>
      </c>
      <c r="G932" s="361">
        <v>12878</v>
      </c>
      <c r="H932" s="406">
        <f t="shared" si="45"/>
        <v>0.03617410446479123</v>
      </c>
      <c r="I932" s="406">
        <f t="shared" si="46"/>
        <v>0.11260740353017827</v>
      </c>
    </row>
    <row r="933" spans="1:9" ht="18" customHeight="1">
      <c r="A933" s="355" t="s">
        <v>1037</v>
      </c>
      <c r="B933" s="586" t="s">
        <v>1038</v>
      </c>
      <c r="C933" s="587"/>
      <c r="D933" s="587"/>
      <c r="E933" s="348">
        <v>0</v>
      </c>
      <c r="F933" s="348">
        <v>0</v>
      </c>
      <c r="G933" s="348">
        <v>7878</v>
      </c>
      <c r="H933" s="16" t="e">
        <f t="shared" si="45"/>
        <v>#DIV/0!</v>
      </c>
      <c r="I933" s="16" t="e">
        <f t="shared" si="46"/>
        <v>#DIV/0!</v>
      </c>
    </row>
    <row r="934" spans="1:9" ht="18" customHeight="1">
      <c r="A934" s="355" t="s">
        <v>1039</v>
      </c>
      <c r="B934" s="586" t="s">
        <v>1040</v>
      </c>
      <c r="C934" s="587"/>
      <c r="D934" s="587"/>
      <c r="E934" s="348">
        <v>0</v>
      </c>
      <c r="F934" s="348">
        <v>0</v>
      </c>
      <c r="G934" s="348">
        <v>0</v>
      </c>
      <c r="H934" s="16" t="e">
        <f t="shared" si="45"/>
        <v>#DIV/0!</v>
      </c>
      <c r="I934" s="16" t="e">
        <f t="shared" si="46"/>
        <v>#DIV/0!</v>
      </c>
    </row>
    <row r="935" spans="1:9" ht="18" customHeight="1">
      <c r="A935" s="355" t="s">
        <v>1039</v>
      </c>
      <c r="B935" s="586" t="s">
        <v>1041</v>
      </c>
      <c r="C935" s="587"/>
      <c r="D935" s="587"/>
      <c r="E935" s="348">
        <v>0</v>
      </c>
      <c r="F935" s="348">
        <v>0</v>
      </c>
      <c r="G935" s="348">
        <v>0</v>
      </c>
      <c r="H935" s="16" t="e">
        <f>G935/E935</f>
        <v>#DIV/0!</v>
      </c>
      <c r="I935" s="16" t="e">
        <f>G935/F935</f>
        <v>#DIV/0!</v>
      </c>
    </row>
    <row r="936" spans="1:9" ht="18" customHeight="1">
      <c r="A936" s="355"/>
      <c r="B936" s="566" t="s">
        <v>1042</v>
      </c>
      <c r="C936" s="596"/>
      <c r="D936" s="567"/>
      <c r="E936" s="348">
        <v>0</v>
      </c>
      <c r="F936" s="348">
        <v>0</v>
      </c>
      <c r="G936" s="348">
        <v>5000</v>
      </c>
      <c r="H936" s="16" t="e">
        <f>G936/E936</f>
        <v>#DIV/0!</v>
      </c>
      <c r="I936" s="16" t="e">
        <f>G936/F936</f>
        <v>#DIV/0!</v>
      </c>
    </row>
    <row r="937" spans="1:9" ht="18" customHeight="1">
      <c r="A937" s="355" t="s">
        <v>1039</v>
      </c>
      <c r="B937" s="586" t="s">
        <v>1043</v>
      </c>
      <c r="C937" s="587"/>
      <c r="D937" s="587"/>
      <c r="E937" s="348">
        <v>0</v>
      </c>
      <c r="F937" s="348">
        <v>0</v>
      </c>
      <c r="G937" s="348">
        <v>0</v>
      </c>
      <c r="H937" s="16" t="e">
        <f>G937/E937</f>
        <v>#DIV/0!</v>
      </c>
      <c r="I937" s="16" t="e">
        <f>G937/F937</f>
        <v>#DIV/0!</v>
      </c>
    </row>
    <row r="938" spans="1:9" ht="18" customHeight="1">
      <c r="A938" s="355" t="s">
        <v>1039</v>
      </c>
      <c r="B938" s="586" t="s">
        <v>1099</v>
      </c>
      <c r="C938" s="587"/>
      <c r="D938" s="587"/>
      <c r="E938" s="348">
        <v>0</v>
      </c>
      <c r="F938" s="348">
        <v>0</v>
      </c>
      <c r="G938" s="348">
        <v>0</v>
      </c>
      <c r="H938" s="16" t="e">
        <f>G938/E938</f>
        <v>#DIV/0!</v>
      </c>
      <c r="I938" s="16" t="e">
        <f>G938/F938</f>
        <v>#DIV/0!</v>
      </c>
    </row>
    <row r="939" spans="1:9" ht="18" customHeight="1">
      <c r="A939" s="355" t="s">
        <v>1039</v>
      </c>
      <c r="B939" s="371" t="s">
        <v>1044</v>
      </c>
      <c r="C939" s="371"/>
      <c r="D939" s="371"/>
      <c r="E939" s="348">
        <v>0</v>
      </c>
      <c r="F939" s="348">
        <v>0</v>
      </c>
      <c r="G939" s="348">
        <v>0</v>
      </c>
      <c r="H939" s="16" t="e">
        <f>G939/E939</f>
        <v>#DIV/0!</v>
      </c>
      <c r="I939" s="16" t="e">
        <f>G939/F939</f>
        <v>#DIV/0!</v>
      </c>
    </row>
    <row r="940" spans="1:9" ht="18" customHeight="1">
      <c r="A940" s="393">
        <v>84208</v>
      </c>
      <c r="B940" s="588" t="s">
        <v>509</v>
      </c>
      <c r="C940" s="588"/>
      <c r="D940" s="588"/>
      <c r="E940" s="361">
        <v>0</v>
      </c>
      <c r="F940" s="361">
        <v>50000</v>
      </c>
      <c r="G940" s="361">
        <v>48000</v>
      </c>
      <c r="H940" s="406" t="e">
        <f t="shared" si="45"/>
        <v>#DIV/0!</v>
      </c>
      <c r="I940" s="406">
        <f t="shared" si="46"/>
        <v>0.96</v>
      </c>
    </row>
    <row r="941" spans="1:9" ht="18" customHeight="1">
      <c r="A941" s="394">
        <v>82936</v>
      </c>
      <c r="B941" s="588" t="s">
        <v>289</v>
      </c>
      <c r="C941" s="588"/>
      <c r="D941" s="588"/>
      <c r="E941" s="361">
        <f>E942</f>
        <v>0</v>
      </c>
      <c r="F941" s="361">
        <f>F942</f>
        <v>10000</v>
      </c>
      <c r="G941" s="361">
        <f>G942</f>
        <v>9888</v>
      </c>
      <c r="H941" s="406" t="e">
        <f t="shared" si="45"/>
        <v>#DIV/0!</v>
      </c>
      <c r="I941" s="406">
        <f t="shared" si="46"/>
        <v>0.9888</v>
      </c>
    </row>
    <row r="942" spans="1:9" ht="18" customHeight="1">
      <c r="A942" s="355">
        <v>84209</v>
      </c>
      <c r="B942" s="586" t="s">
        <v>1098</v>
      </c>
      <c r="C942" s="587"/>
      <c r="D942" s="595"/>
      <c r="E942" s="64">
        <v>0</v>
      </c>
      <c r="F942" s="64">
        <v>10000</v>
      </c>
      <c r="G942" s="64">
        <v>9888</v>
      </c>
      <c r="H942" s="16" t="e">
        <f t="shared" si="45"/>
        <v>#DIV/0!</v>
      </c>
      <c r="I942" s="16">
        <f t="shared" si="46"/>
        <v>0.9888</v>
      </c>
    </row>
    <row r="943" spans="1:9" ht="20.25" customHeight="1">
      <c r="A943" s="360"/>
      <c r="B943" s="621" t="s">
        <v>1144</v>
      </c>
      <c r="C943" s="622"/>
      <c r="D943" s="622"/>
      <c r="E943" s="66">
        <v>50000</v>
      </c>
      <c r="F943" s="66">
        <f>F944+F949+F953</f>
        <v>66197.58</v>
      </c>
      <c r="G943" s="66">
        <f>G944+G949+G953</f>
        <v>57660</v>
      </c>
      <c r="H943" s="21">
        <f t="shared" si="45"/>
        <v>1.1532</v>
      </c>
      <c r="I943" s="21">
        <f t="shared" si="46"/>
        <v>0.8710288200867765</v>
      </c>
    </row>
    <row r="944" spans="1:9" ht="18" customHeight="1">
      <c r="A944" s="362">
        <v>82937</v>
      </c>
      <c r="B944" s="592" t="s">
        <v>994</v>
      </c>
      <c r="C944" s="593"/>
      <c r="D944" s="593"/>
      <c r="E944" s="361">
        <v>0</v>
      </c>
      <c r="F944" s="361">
        <v>33000</v>
      </c>
      <c r="G944" s="361">
        <v>32925</v>
      </c>
      <c r="H944" s="406" t="e">
        <f t="shared" si="45"/>
        <v>#DIV/0!</v>
      </c>
      <c r="I944" s="406">
        <f t="shared" si="46"/>
        <v>0.9977272727272727</v>
      </c>
    </row>
    <row r="945" ht="20.25" customHeight="1"/>
    <row r="946" spans="1:9" ht="20.25" customHeight="1">
      <c r="A946" s="403"/>
      <c r="B946" s="408"/>
      <c r="C946" s="408"/>
      <c r="D946" s="408"/>
      <c r="E946" s="404"/>
      <c r="F946" s="404"/>
      <c r="G946" s="404"/>
      <c r="H946" s="92"/>
      <c r="I946" s="443">
        <v>13</v>
      </c>
    </row>
    <row r="947" spans="1:9" ht="20.25" customHeight="1">
      <c r="A947" s="403"/>
      <c r="B947" s="408"/>
      <c r="C947" s="408"/>
      <c r="D947" s="408"/>
      <c r="E947" s="404"/>
      <c r="F947" s="404"/>
      <c r="G947" s="404"/>
      <c r="H947" s="92"/>
      <c r="I947" s="443"/>
    </row>
    <row r="948" spans="1:9" ht="20.25" customHeight="1">
      <c r="A948" s="403"/>
      <c r="B948" s="408"/>
      <c r="C948" s="408"/>
      <c r="D948" s="408"/>
      <c r="E948" s="404"/>
      <c r="F948" s="404"/>
      <c r="G948" s="404"/>
      <c r="H948" s="92"/>
      <c r="I948" s="272"/>
    </row>
    <row r="949" spans="1:9" ht="20.25" customHeight="1">
      <c r="A949" s="352">
        <v>85945</v>
      </c>
      <c r="B949" s="590" t="s">
        <v>995</v>
      </c>
      <c r="C949" s="591"/>
      <c r="D949" s="591"/>
      <c r="E949" s="64">
        <v>0</v>
      </c>
      <c r="F949" s="64">
        <v>29235</v>
      </c>
      <c r="G949" s="64">
        <f>G950+G951+G952</f>
        <v>20815</v>
      </c>
      <c r="H949" s="16" t="e">
        <f>G949/E949</f>
        <v>#DIV/0!</v>
      </c>
      <c r="I949" s="16">
        <f>G949/F949</f>
        <v>0.7119890542158371</v>
      </c>
    </row>
    <row r="950" spans="1:9" ht="20.25" customHeight="1">
      <c r="A950" s="351"/>
      <c r="B950" s="586" t="s">
        <v>1097</v>
      </c>
      <c r="C950" s="587"/>
      <c r="D950" s="595"/>
      <c r="E950" s="64">
        <v>0</v>
      </c>
      <c r="F950" s="64">
        <v>0</v>
      </c>
      <c r="G950" s="64">
        <v>970</v>
      </c>
      <c r="H950" s="16" t="e">
        <f aca="true" t="shared" si="47" ref="H950:H957">G950/E950</f>
        <v>#DIV/0!</v>
      </c>
      <c r="I950" s="16" t="e">
        <f aca="true" t="shared" si="48" ref="I950:I957">G950/F950</f>
        <v>#DIV/0!</v>
      </c>
    </row>
    <row r="951" spans="1:9" ht="20.25" customHeight="1">
      <c r="A951" s="351"/>
      <c r="B951" s="586" t="s">
        <v>996</v>
      </c>
      <c r="C951" s="587"/>
      <c r="D951" s="595"/>
      <c r="E951" s="64">
        <v>0</v>
      </c>
      <c r="F951" s="64">
        <v>0</v>
      </c>
      <c r="G951" s="64">
        <v>9995</v>
      </c>
      <c r="H951" s="16" t="e">
        <f t="shared" si="47"/>
        <v>#DIV/0!</v>
      </c>
      <c r="I951" s="16" t="e">
        <f t="shared" si="48"/>
        <v>#DIV/0!</v>
      </c>
    </row>
    <row r="952" spans="1:9" ht="20.25" customHeight="1">
      <c r="A952" s="351"/>
      <c r="B952" s="586" t="s">
        <v>1096</v>
      </c>
      <c r="C952" s="587"/>
      <c r="D952" s="595"/>
      <c r="E952" s="64">
        <v>0</v>
      </c>
      <c r="F952" s="64">
        <v>0</v>
      </c>
      <c r="G952" s="64">
        <v>9850</v>
      </c>
      <c r="H952" s="16" t="e">
        <f t="shared" si="47"/>
        <v>#DIV/0!</v>
      </c>
      <c r="I952" s="16" t="e">
        <f t="shared" si="48"/>
        <v>#DIV/0!</v>
      </c>
    </row>
    <row r="953" spans="1:9" ht="20.25" customHeight="1">
      <c r="A953" s="362">
        <v>84210</v>
      </c>
      <c r="B953" s="592" t="s">
        <v>997</v>
      </c>
      <c r="C953" s="593"/>
      <c r="D953" s="594"/>
      <c r="E953" s="361">
        <v>0</v>
      </c>
      <c r="F953" s="361">
        <v>3962.58</v>
      </c>
      <c r="G953" s="361">
        <v>3920</v>
      </c>
      <c r="H953" s="406" t="e">
        <f t="shared" si="47"/>
        <v>#DIV/0!</v>
      </c>
      <c r="I953" s="406">
        <f t="shared" si="48"/>
        <v>0.9892544756194197</v>
      </c>
    </row>
    <row r="954" spans="1:9" ht="24.75" customHeight="1">
      <c r="A954" s="360"/>
      <c r="B954" s="621" t="s">
        <v>76</v>
      </c>
      <c r="C954" s="622"/>
      <c r="D954" s="622"/>
      <c r="E954" s="66">
        <f>E955</f>
        <v>0</v>
      </c>
      <c r="F954" s="66">
        <f>F955</f>
        <v>10000</v>
      </c>
      <c r="G954" s="66">
        <f>G955</f>
        <v>0</v>
      </c>
      <c r="H954" s="21" t="e">
        <f t="shared" si="47"/>
        <v>#DIV/0!</v>
      </c>
      <c r="I954" s="21">
        <f t="shared" si="48"/>
        <v>0</v>
      </c>
    </row>
    <row r="955" spans="1:9" ht="20.25" customHeight="1">
      <c r="A955" s="352">
        <v>82939</v>
      </c>
      <c r="B955" s="592" t="s">
        <v>291</v>
      </c>
      <c r="C955" s="593"/>
      <c r="D955" s="593"/>
      <c r="E955" s="361">
        <v>0</v>
      </c>
      <c r="F955" s="361">
        <v>10000</v>
      </c>
      <c r="G955" s="361">
        <v>0</v>
      </c>
      <c r="H955" s="406" t="e">
        <f t="shared" si="47"/>
        <v>#DIV/0!</v>
      </c>
      <c r="I955" s="406">
        <f t="shared" si="48"/>
        <v>0</v>
      </c>
    </row>
    <row r="956" spans="1:9" ht="24.75" customHeight="1">
      <c r="A956" s="358">
        <v>80967</v>
      </c>
      <c r="B956" s="621" t="s">
        <v>489</v>
      </c>
      <c r="C956" s="622"/>
      <c r="D956" s="622"/>
      <c r="E956" s="66">
        <f>E957+E958+E965+E966+E967+E968+E969+E970+E971+E972+E973+E974+E975+E976+E977+E978+E979</f>
        <v>3304269.34</v>
      </c>
      <c r="F956" s="66">
        <f>F957+F958+F965+F966+F967+F968+F969+F970+F971+F972+F973+F974+F975+F976+F977+F978+F979</f>
        <v>2905435.2800000003</v>
      </c>
      <c r="G956" s="66">
        <f>G957+G958+G965+G966+G967+G968+G969+G970+G971+G972+G973+G974+G975+G976+G977+G978+G979</f>
        <v>607687.41</v>
      </c>
      <c r="H956" s="21">
        <f t="shared" si="47"/>
        <v>0.18390976868731895</v>
      </c>
      <c r="I956" s="21">
        <f t="shared" si="48"/>
        <v>0.20915537653965569</v>
      </c>
    </row>
    <row r="957" spans="1:9" ht="20.25" customHeight="1">
      <c r="A957" s="362">
        <v>85955</v>
      </c>
      <c r="B957" s="592" t="s">
        <v>1005</v>
      </c>
      <c r="C957" s="593"/>
      <c r="D957" s="593"/>
      <c r="E957" s="361">
        <v>30000</v>
      </c>
      <c r="F957" s="361">
        <v>10000</v>
      </c>
      <c r="G957" s="361">
        <v>0</v>
      </c>
      <c r="H957" s="406">
        <f t="shared" si="47"/>
        <v>0</v>
      </c>
      <c r="I957" s="406">
        <f t="shared" si="48"/>
        <v>0</v>
      </c>
    </row>
    <row r="958" spans="1:9" ht="18" customHeight="1">
      <c r="A958" s="362">
        <v>85950</v>
      </c>
      <c r="B958" s="592" t="s">
        <v>1013</v>
      </c>
      <c r="C958" s="593"/>
      <c r="D958" s="593"/>
      <c r="E958" s="361">
        <v>489825</v>
      </c>
      <c r="F958" s="361">
        <v>369902.21</v>
      </c>
      <c r="G958" s="361">
        <f>G959+G960+G961+G962+G963+G964</f>
        <v>56823.85</v>
      </c>
      <c r="H958" s="406">
        <f aca="true" t="shared" si="49" ref="H958:H976">G958/E958</f>
        <v>0.1160084724136171</v>
      </c>
      <c r="I958" s="406">
        <f aca="true" t="shared" si="50" ref="I958:I976">G958/F958</f>
        <v>0.15361857394688178</v>
      </c>
    </row>
    <row r="959" spans="1:9" ht="20.25" customHeight="1">
      <c r="A959" s="352">
        <v>85950</v>
      </c>
      <c r="B959" s="590" t="s">
        <v>1014</v>
      </c>
      <c r="C959" s="591"/>
      <c r="D959" s="591"/>
      <c r="E959" s="64">
        <v>0</v>
      </c>
      <c r="F959" s="64">
        <v>0</v>
      </c>
      <c r="G959" s="64">
        <v>41420.7</v>
      </c>
      <c r="H959" s="16" t="e">
        <f t="shared" si="49"/>
        <v>#DIV/0!</v>
      </c>
      <c r="I959" s="16" t="e">
        <f t="shared" si="50"/>
        <v>#DIV/0!</v>
      </c>
    </row>
    <row r="960" spans="1:9" ht="23.25" customHeight="1">
      <c r="A960" s="352">
        <v>85950</v>
      </c>
      <c r="B960" s="590" t="s">
        <v>1015</v>
      </c>
      <c r="C960" s="591"/>
      <c r="D960" s="591"/>
      <c r="E960" s="64">
        <v>0</v>
      </c>
      <c r="F960" s="64">
        <v>0</v>
      </c>
      <c r="G960" s="64">
        <v>0</v>
      </c>
      <c r="H960" s="16" t="e">
        <f t="shared" si="49"/>
        <v>#DIV/0!</v>
      </c>
      <c r="I960" s="16" t="e">
        <f t="shared" si="50"/>
        <v>#DIV/0!</v>
      </c>
    </row>
    <row r="961" spans="1:9" ht="23.25" customHeight="1">
      <c r="A961" s="352">
        <v>85950</v>
      </c>
      <c r="B961" s="590" t="s">
        <v>1016</v>
      </c>
      <c r="C961" s="591"/>
      <c r="D961" s="591"/>
      <c r="E961" s="64">
        <v>0</v>
      </c>
      <c r="F961" s="64">
        <v>0</v>
      </c>
      <c r="G961" s="64">
        <v>0</v>
      </c>
      <c r="H961" s="16" t="e">
        <f t="shared" si="49"/>
        <v>#DIV/0!</v>
      </c>
      <c r="I961" s="16" t="e">
        <f t="shared" si="50"/>
        <v>#DIV/0!</v>
      </c>
    </row>
    <row r="962" spans="1:9" ht="23.25" customHeight="1">
      <c r="A962" s="352">
        <v>85950</v>
      </c>
      <c r="B962" s="590" t="s">
        <v>1017</v>
      </c>
      <c r="C962" s="591"/>
      <c r="D962" s="591"/>
      <c r="E962" s="64">
        <v>0</v>
      </c>
      <c r="F962" s="64">
        <v>0</v>
      </c>
      <c r="G962" s="64">
        <v>0</v>
      </c>
      <c r="H962" s="16" t="e">
        <f t="shared" si="49"/>
        <v>#DIV/0!</v>
      </c>
      <c r="I962" s="16" t="e">
        <f t="shared" si="50"/>
        <v>#DIV/0!</v>
      </c>
    </row>
    <row r="963" spans="1:9" ht="23.25" customHeight="1">
      <c r="A963" s="352">
        <v>85950</v>
      </c>
      <c r="B963" s="590" t="s">
        <v>1018</v>
      </c>
      <c r="C963" s="591"/>
      <c r="D963" s="591"/>
      <c r="E963" s="64">
        <v>0</v>
      </c>
      <c r="F963" s="64">
        <v>0</v>
      </c>
      <c r="G963" s="64">
        <v>15403.15</v>
      </c>
      <c r="H963" s="16" t="e">
        <f t="shared" si="49"/>
        <v>#DIV/0!</v>
      </c>
      <c r="I963" s="16" t="e">
        <f t="shared" si="50"/>
        <v>#DIV/0!</v>
      </c>
    </row>
    <row r="964" spans="1:9" ht="23.25" customHeight="1">
      <c r="A964" s="352">
        <v>85950</v>
      </c>
      <c r="B964" s="590" t="s">
        <v>1009</v>
      </c>
      <c r="C964" s="591"/>
      <c r="D964" s="591"/>
      <c r="E964" s="64">
        <v>0</v>
      </c>
      <c r="F964" s="64">
        <v>0</v>
      </c>
      <c r="G964" s="64">
        <v>0</v>
      </c>
      <c r="H964" s="16" t="e">
        <f t="shared" si="49"/>
        <v>#DIV/0!</v>
      </c>
      <c r="I964" s="16" t="e">
        <f t="shared" si="50"/>
        <v>#DIV/0!</v>
      </c>
    </row>
    <row r="965" spans="1:9" ht="23.25" customHeight="1">
      <c r="A965" s="362">
        <v>85948</v>
      </c>
      <c r="B965" s="592" t="s">
        <v>292</v>
      </c>
      <c r="C965" s="593"/>
      <c r="D965" s="593"/>
      <c r="E965" s="361">
        <v>70000</v>
      </c>
      <c r="F965" s="377">
        <v>25000</v>
      </c>
      <c r="G965" s="377">
        <v>0</v>
      </c>
      <c r="H965" s="406">
        <f t="shared" si="49"/>
        <v>0</v>
      </c>
      <c r="I965" s="406">
        <f t="shared" si="50"/>
        <v>0</v>
      </c>
    </row>
    <row r="966" spans="1:9" ht="23.25" customHeight="1">
      <c r="A966" s="362">
        <v>85951</v>
      </c>
      <c r="B966" s="592" t="s">
        <v>293</v>
      </c>
      <c r="C966" s="593"/>
      <c r="D966" s="593"/>
      <c r="E966" s="361">
        <v>30000</v>
      </c>
      <c r="F966" s="377">
        <v>15000</v>
      </c>
      <c r="G966" s="377">
        <v>13254</v>
      </c>
      <c r="H966" s="406">
        <f t="shared" si="49"/>
        <v>0.4418</v>
      </c>
      <c r="I966" s="406">
        <f t="shared" si="50"/>
        <v>0.8836</v>
      </c>
    </row>
    <row r="967" spans="1:9" ht="23.25" customHeight="1">
      <c r="A967" s="362">
        <v>85952</v>
      </c>
      <c r="B967" s="592" t="s">
        <v>1010</v>
      </c>
      <c r="C967" s="593"/>
      <c r="D967" s="593"/>
      <c r="E967" s="361">
        <v>45000</v>
      </c>
      <c r="F967" s="387">
        <v>20665.85</v>
      </c>
      <c r="G967" s="377">
        <v>0</v>
      </c>
      <c r="H967" s="406">
        <f t="shared" si="49"/>
        <v>0</v>
      </c>
      <c r="I967" s="406">
        <f t="shared" si="50"/>
        <v>0</v>
      </c>
    </row>
    <row r="968" spans="1:9" ht="23.25" customHeight="1">
      <c r="A968" s="362">
        <v>85953</v>
      </c>
      <c r="B968" s="592" t="s">
        <v>1011</v>
      </c>
      <c r="C968" s="593"/>
      <c r="D968" s="593"/>
      <c r="E968" s="361">
        <v>50000</v>
      </c>
      <c r="F968" s="387">
        <v>25000</v>
      </c>
      <c r="G968" s="377">
        <v>0</v>
      </c>
      <c r="H968" s="406">
        <f t="shared" si="49"/>
        <v>0</v>
      </c>
      <c r="I968" s="406">
        <f t="shared" si="50"/>
        <v>0</v>
      </c>
    </row>
    <row r="969" spans="1:9" ht="23.25" customHeight="1">
      <c r="A969" s="362">
        <v>85954</v>
      </c>
      <c r="B969" s="592" t="s">
        <v>294</v>
      </c>
      <c r="C969" s="593"/>
      <c r="D969" s="593"/>
      <c r="E969" s="361">
        <v>16221.56</v>
      </c>
      <c r="F969" s="387">
        <v>16221.56</v>
      </c>
      <c r="G969" s="377">
        <v>0</v>
      </c>
      <c r="H969" s="406">
        <f t="shared" si="49"/>
        <v>0</v>
      </c>
      <c r="I969" s="406">
        <f t="shared" si="50"/>
        <v>0</v>
      </c>
    </row>
    <row r="970" spans="1:9" ht="23.25" customHeight="1">
      <c r="A970" s="362">
        <v>85956</v>
      </c>
      <c r="B970" s="592" t="s">
        <v>1012</v>
      </c>
      <c r="C970" s="593"/>
      <c r="D970" s="593"/>
      <c r="E970" s="361">
        <v>50000</v>
      </c>
      <c r="F970" s="377">
        <v>0</v>
      </c>
      <c r="G970" s="377">
        <v>0</v>
      </c>
      <c r="H970" s="406">
        <f t="shared" si="49"/>
        <v>0</v>
      </c>
      <c r="I970" s="406" t="e">
        <f t="shared" si="50"/>
        <v>#DIV/0!</v>
      </c>
    </row>
    <row r="971" spans="1:9" ht="23.25" customHeight="1">
      <c r="A971" s="362">
        <v>85957</v>
      </c>
      <c r="B971" s="592" t="s">
        <v>295</v>
      </c>
      <c r="C971" s="593"/>
      <c r="D971" s="593"/>
      <c r="E971" s="361">
        <v>100000</v>
      </c>
      <c r="F971" s="387">
        <v>80000</v>
      </c>
      <c r="G971" s="377">
        <v>80000</v>
      </c>
      <c r="H971" s="406">
        <f t="shared" si="49"/>
        <v>0.8</v>
      </c>
      <c r="I971" s="406">
        <f t="shared" si="50"/>
        <v>1</v>
      </c>
    </row>
    <row r="972" spans="1:9" ht="23.25" customHeight="1">
      <c r="A972" s="389">
        <v>85958</v>
      </c>
      <c r="B972" s="592" t="s">
        <v>296</v>
      </c>
      <c r="C972" s="593"/>
      <c r="D972" s="593"/>
      <c r="E972" s="361">
        <v>110000</v>
      </c>
      <c r="F972" s="387">
        <v>90000</v>
      </c>
      <c r="G972" s="377">
        <v>30000</v>
      </c>
      <c r="H972" s="406">
        <f t="shared" si="49"/>
        <v>0.2727272727272727</v>
      </c>
      <c r="I972" s="406">
        <f t="shared" si="50"/>
        <v>0.3333333333333333</v>
      </c>
    </row>
    <row r="973" spans="1:9" ht="23.25" customHeight="1">
      <c r="A973" s="362">
        <v>85959</v>
      </c>
      <c r="B973" s="592" t="s">
        <v>297</v>
      </c>
      <c r="C973" s="593"/>
      <c r="D973" s="593"/>
      <c r="E973" s="361">
        <v>160000</v>
      </c>
      <c r="F973" s="387">
        <v>125422.88</v>
      </c>
      <c r="G973" s="377">
        <v>42695.2</v>
      </c>
      <c r="H973" s="406">
        <f t="shared" si="49"/>
        <v>0.266845</v>
      </c>
      <c r="I973" s="406">
        <f t="shared" si="50"/>
        <v>0.34040997942321205</v>
      </c>
    </row>
    <row r="974" spans="1:9" ht="23.25" customHeight="1">
      <c r="A974" s="382">
        <v>85960</v>
      </c>
      <c r="B974" s="592" t="s">
        <v>1006</v>
      </c>
      <c r="C974" s="593"/>
      <c r="D974" s="593"/>
      <c r="E974" s="361">
        <v>799368.78</v>
      </c>
      <c r="F974" s="387">
        <v>799368.78</v>
      </c>
      <c r="G974" s="377">
        <v>0</v>
      </c>
      <c r="H974" s="406">
        <f t="shared" si="49"/>
        <v>0</v>
      </c>
      <c r="I974" s="406">
        <f t="shared" si="50"/>
        <v>0</v>
      </c>
    </row>
    <row r="975" spans="1:9" ht="23.25" customHeight="1">
      <c r="A975" s="362">
        <v>85961</v>
      </c>
      <c r="B975" s="592" t="s">
        <v>1007</v>
      </c>
      <c r="C975" s="593"/>
      <c r="D975" s="593"/>
      <c r="E975" s="361">
        <v>10000</v>
      </c>
      <c r="F975" s="387">
        <v>0</v>
      </c>
      <c r="G975" s="377">
        <v>0</v>
      </c>
      <c r="H975" s="406">
        <f t="shared" si="49"/>
        <v>0</v>
      </c>
      <c r="I975" s="406" t="e">
        <f t="shared" si="50"/>
        <v>#DIV/0!</v>
      </c>
    </row>
    <row r="976" spans="1:9" ht="23.25" customHeight="1">
      <c r="A976" s="362">
        <v>85962</v>
      </c>
      <c r="B976" s="592" t="s">
        <v>1008</v>
      </c>
      <c r="C976" s="593"/>
      <c r="D976" s="593"/>
      <c r="E976" s="361">
        <v>25000</v>
      </c>
      <c r="F976" s="387">
        <v>10000</v>
      </c>
      <c r="G976" s="377">
        <v>7536</v>
      </c>
      <c r="H976" s="406">
        <f t="shared" si="49"/>
        <v>0.30144</v>
      </c>
      <c r="I976" s="406">
        <f t="shared" si="50"/>
        <v>0.7536</v>
      </c>
    </row>
    <row r="977" spans="1:9" ht="23.25" customHeight="1">
      <c r="A977" s="362">
        <v>85946</v>
      </c>
      <c r="B977" s="592" t="s">
        <v>998</v>
      </c>
      <c r="C977" s="593"/>
      <c r="D977" s="593"/>
      <c r="E977" s="361">
        <v>470000</v>
      </c>
      <c r="F977" s="361">
        <v>470000</v>
      </c>
      <c r="G977" s="361">
        <v>117500</v>
      </c>
      <c r="H977" s="406">
        <f aca="true" t="shared" si="51" ref="H977:H985">G977/E977</f>
        <v>0.25</v>
      </c>
      <c r="I977" s="406">
        <f aca="true" t="shared" si="52" ref="I977:I985">G977/F977</f>
        <v>0.25</v>
      </c>
    </row>
    <row r="978" spans="1:9" ht="23.25" customHeight="1">
      <c r="A978" s="362">
        <v>85947</v>
      </c>
      <c r="B978" s="592" t="s">
        <v>999</v>
      </c>
      <c r="C978" s="593"/>
      <c r="D978" s="593"/>
      <c r="E978" s="361">
        <v>320000</v>
      </c>
      <c r="F978" s="377">
        <v>320000</v>
      </c>
      <c r="G978" s="377">
        <v>0</v>
      </c>
      <c r="H978" s="406">
        <f t="shared" si="51"/>
        <v>0</v>
      </c>
      <c r="I978" s="406">
        <f t="shared" si="52"/>
        <v>0</v>
      </c>
    </row>
    <row r="979" spans="1:9" ht="23.25" customHeight="1">
      <c r="A979" s="362">
        <v>85949</v>
      </c>
      <c r="B979" s="592" t="s">
        <v>1100</v>
      </c>
      <c r="C979" s="593"/>
      <c r="D979" s="593"/>
      <c r="E979" s="361">
        <v>528854</v>
      </c>
      <c r="F979" s="377">
        <v>528854</v>
      </c>
      <c r="G979" s="377">
        <f>G980+G981+G982+G983+G984+G985+G986</f>
        <v>259878.36000000004</v>
      </c>
      <c r="H979" s="406">
        <f t="shared" si="51"/>
        <v>0.4913990628793581</v>
      </c>
      <c r="I979" s="406">
        <f t="shared" si="52"/>
        <v>0.4913990628793581</v>
      </c>
    </row>
    <row r="980" spans="1:9" ht="23.25" customHeight="1">
      <c r="A980" s="352">
        <v>85949</v>
      </c>
      <c r="B980" s="590" t="s">
        <v>1000</v>
      </c>
      <c r="C980" s="591"/>
      <c r="D980" s="591"/>
      <c r="E980" s="64">
        <v>0</v>
      </c>
      <c r="F980" s="332">
        <v>0</v>
      </c>
      <c r="G980" s="332">
        <v>49600</v>
      </c>
      <c r="H980" s="16" t="e">
        <f t="shared" si="51"/>
        <v>#DIV/0!</v>
      </c>
      <c r="I980" s="16" t="e">
        <f t="shared" si="52"/>
        <v>#DIV/0!</v>
      </c>
    </row>
    <row r="981" spans="1:9" ht="23.25" customHeight="1">
      <c r="A981" s="352">
        <v>85949</v>
      </c>
      <c r="B981" s="590" t="s">
        <v>1001</v>
      </c>
      <c r="C981" s="591"/>
      <c r="D981" s="591"/>
      <c r="E981" s="64">
        <v>0</v>
      </c>
      <c r="F981" s="332">
        <v>0</v>
      </c>
      <c r="G981" s="332">
        <v>66962</v>
      </c>
      <c r="H981" s="16" t="e">
        <f t="shared" si="51"/>
        <v>#DIV/0!</v>
      </c>
      <c r="I981" s="16" t="e">
        <f t="shared" si="52"/>
        <v>#DIV/0!</v>
      </c>
    </row>
    <row r="982" spans="1:9" ht="23.25" customHeight="1">
      <c r="A982" s="352">
        <v>85949</v>
      </c>
      <c r="B982" s="590" t="s">
        <v>1002</v>
      </c>
      <c r="C982" s="591"/>
      <c r="D982" s="591"/>
      <c r="E982" s="64">
        <v>0</v>
      </c>
      <c r="F982" s="332">
        <v>0</v>
      </c>
      <c r="G982" s="332">
        <v>18835.2</v>
      </c>
      <c r="H982" s="16" t="e">
        <f t="shared" si="51"/>
        <v>#DIV/0!</v>
      </c>
      <c r="I982" s="16" t="e">
        <f t="shared" si="52"/>
        <v>#DIV/0!</v>
      </c>
    </row>
    <row r="983" spans="1:9" ht="23.25" customHeight="1">
      <c r="A983" s="352">
        <v>85949</v>
      </c>
      <c r="B983" s="590" t="s">
        <v>1003</v>
      </c>
      <c r="C983" s="591"/>
      <c r="D983" s="591"/>
      <c r="E983" s="64">
        <v>0</v>
      </c>
      <c r="F983" s="332">
        <v>0</v>
      </c>
      <c r="G983" s="332">
        <v>34556.1</v>
      </c>
      <c r="H983" s="16" t="e">
        <f t="shared" si="51"/>
        <v>#DIV/0!</v>
      </c>
      <c r="I983" s="16" t="e">
        <f t="shared" si="52"/>
        <v>#DIV/0!</v>
      </c>
    </row>
    <row r="984" spans="1:9" ht="23.25" customHeight="1">
      <c r="A984" s="352">
        <v>85949</v>
      </c>
      <c r="B984" s="590" t="s">
        <v>1004</v>
      </c>
      <c r="C984" s="591"/>
      <c r="D984" s="591"/>
      <c r="E984" s="64">
        <v>0</v>
      </c>
      <c r="F984" s="332">
        <v>0</v>
      </c>
      <c r="G984" s="332">
        <v>25729.86</v>
      </c>
      <c r="H984" s="16" t="e">
        <f t="shared" si="51"/>
        <v>#DIV/0!</v>
      </c>
      <c r="I984" s="16" t="e">
        <f t="shared" si="52"/>
        <v>#DIV/0!</v>
      </c>
    </row>
    <row r="985" spans="1:9" ht="23.25" customHeight="1">
      <c r="A985" s="352">
        <v>85949</v>
      </c>
      <c r="B985" s="590" t="s">
        <v>960</v>
      </c>
      <c r="C985" s="591"/>
      <c r="D985" s="591"/>
      <c r="E985" s="64">
        <v>0</v>
      </c>
      <c r="F985" s="332">
        <v>0</v>
      </c>
      <c r="G985" s="332">
        <v>21195.2</v>
      </c>
      <c r="H985" s="16" t="e">
        <f t="shared" si="51"/>
        <v>#DIV/0!</v>
      </c>
      <c r="I985" s="16" t="e">
        <f t="shared" si="52"/>
        <v>#DIV/0!</v>
      </c>
    </row>
    <row r="986" spans="1:9" ht="23.25" customHeight="1">
      <c r="A986" s="352">
        <v>85949</v>
      </c>
      <c r="B986" s="590" t="s">
        <v>1088</v>
      </c>
      <c r="C986" s="591"/>
      <c r="D986" s="591"/>
      <c r="E986" s="64">
        <v>0</v>
      </c>
      <c r="F986" s="332">
        <v>0</v>
      </c>
      <c r="G986" s="332">
        <v>43000</v>
      </c>
      <c r="H986" s="16" t="e">
        <f>G986/E986</f>
        <v>#DIV/0!</v>
      </c>
      <c r="I986" s="16" t="e">
        <f>G986/F986</f>
        <v>#DIV/0!</v>
      </c>
    </row>
    <row r="987" spans="1:9" ht="25.5" customHeight="1">
      <c r="A987" s="358">
        <v>82963</v>
      </c>
      <c r="B987" s="621" t="s">
        <v>78</v>
      </c>
      <c r="C987" s="622"/>
      <c r="D987" s="622"/>
      <c r="E987" s="66">
        <f>E988+E989+E990+E991+E992+E993</f>
        <v>114000</v>
      </c>
      <c r="F987" s="66">
        <f>F988+F989+F990+F991+F992+F993</f>
        <v>148000</v>
      </c>
      <c r="G987" s="66">
        <f>G988+G989+G990+G991+G992+G993</f>
        <v>35848.1</v>
      </c>
      <c r="H987" s="21">
        <f>G987/E987</f>
        <v>0.31445701754385963</v>
      </c>
      <c r="I987" s="21">
        <f>G987/F987</f>
        <v>0.24221689189189188</v>
      </c>
    </row>
    <row r="988" spans="1:9" ht="23.25" customHeight="1">
      <c r="A988" s="356">
        <v>85963</v>
      </c>
      <c r="B988" s="670" t="s">
        <v>727</v>
      </c>
      <c r="C988" s="671"/>
      <c r="D988" s="671"/>
      <c r="E988" s="64">
        <v>50000</v>
      </c>
      <c r="F988" s="332">
        <v>50000</v>
      </c>
      <c r="G988" s="332">
        <v>0</v>
      </c>
      <c r="H988" s="16">
        <f aca="true" t="shared" si="53" ref="H988:H993">G988/E988</f>
        <v>0</v>
      </c>
      <c r="I988" s="16">
        <f aca="true" t="shared" si="54" ref="I988:I993">G988/F988</f>
        <v>0</v>
      </c>
    </row>
    <row r="989" spans="1:9" ht="23.25" customHeight="1">
      <c r="A989" s="356">
        <v>85964</v>
      </c>
      <c r="B989" s="670" t="s">
        <v>1019</v>
      </c>
      <c r="C989" s="671"/>
      <c r="D989" s="671"/>
      <c r="E989" s="64">
        <v>10000</v>
      </c>
      <c r="F989" s="332">
        <v>10000</v>
      </c>
      <c r="G989" s="332">
        <v>0</v>
      </c>
      <c r="H989" s="16">
        <f t="shared" si="53"/>
        <v>0</v>
      </c>
      <c r="I989" s="16">
        <f t="shared" si="54"/>
        <v>0</v>
      </c>
    </row>
    <row r="990" spans="1:9" ht="23.25" customHeight="1">
      <c r="A990" s="356">
        <v>85965</v>
      </c>
      <c r="B990" s="670" t="s">
        <v>1020</v>
      </c>
      <c r="C990" s="671"/>
      <c r="D990" s="671"/>
      <c r="E990" s="64">
        <v>45000</v>
      </c>
      <c r="F990" s="332">
        <v>45000</v>
      </c>
      <c r="G990" s="332">
        <v>0</v>
      </c>
      <c r="H990" s="16">
        <f t="shared" si="53"/>
        <v>0</v>
      </c>
      <c r="I990" s="16">
        <f t="shared" si="54"/>
        <v>0</v>
      </c>
    </row>
    <row r="991" spans="1:9" ht="23.25" customHeight="1">
      <c r="A991" s="356">
        <v>85966</v>
      </c>
      <c r="B991" s="670" t="s">
        <v>1021</v>
      </c>
      <c r="C991" s="671"/>
      <c r="D991" s="671"/>
      <c r="E991" s="64">
        <v>8000</v>
      </c>
      <c r="F991" s="332">
        <v>8000</v>
      </c>
      <c r="G991" s="332">
        <v>8000</v>
      </c>
      <c r="H991" s="16">
        <f t="shared" si="53"/>
        <v>1</v>
      </c>
      <c r="I991" s="16">
        <f t="shared" si="54"/>
        <v>1</v>
      </c>
    </row>
    <row r="992" spans="1:9" ht="23.25" customHeight="1">
      <c r="A992" s="356">
        <v>85967</v>
      </c>
      <c r="B992" s="670" t="s">
        <v>1101</v>
      </c>
      <c r="C992" s="671"/>
      <c r="D992" s="671"/>
      <c r="E992" s="64">
        <v>1000</v>
      </c>
      <c r="F992" s="332">
        <v>1000</v>
      </c>
      <c r="G992" s="332">
        <v>300</v>
      </c>
      <c r="H992" s="16">
        <f t="shared" si="53"/>
        <v>0.3</v>
      </c>
      <c r="I992" s="16">
        <f t="shared" si="54"/>
        <v>0.3</v>
      </c>
    </row>
    <row r="993" spans="1:9" ht="23.25" customHeight="1">
      <c r="A993" s="356">
        <v>80972</v>
      </c>
      <c r="B993" s="670" t="s">
        <v>1091</v>
      </c>
      <c r="C993" s="671"/>
      <c r="D993" s="671"/>
      <c r="E993" s="64">
        <v>0</v>
      </c>
      <c r="F993" s="332">
        <v>34000</v>
      </c>
      <c r="G993" s="332">
        <v>27548.1</v>
      </c>
      <c r="H993" s="16" t="e">
        <f t="shared" si="53"/>
        <v>#DIV/0!</v>
      </c>
      <c r="I993" s="16">
        <f t="shared" si="54"/>
        <v>0.8102382352941176</v>
      </c>
    </row>
    <row r="994" spans="1:9" ht="25.5" customHeight="1">
      <c r="A994" s="358"/>
      <c r="B994" s="621" t="s">
        <v>79</v>
      </c>
      <c r="C994" s="622"/>
      <c r="D994" s="622"/>
      <c r="E994" s="66">
        <f>E995++E996</f>
        <v>100000</v>
      </c>
      <c r="F994" s="66">
        <f>F995++F996</f>
        <v>100000</v>
      </c>
      <c r="G994" s="66">
        <f>G995+G996</f>
        <v>49397</v>
      </c>
      <c r="H994" s="21">
        <f aca="true" t="shared" si="55" ref="H994:H1048">G994/E994</f>
        <v>0.49397</v>
      </c>
      <c r="I994" s="21">
        <f aca="true" t="shared" si="56" ref="I994:I1048">G994/F994</f>
        <v>0.49397</v>
      </c>
    </row>
    <row r="995" spans="1:9" ht="23.25" customHeight="1">
      <c r="A995" s="355">
        <v>85968</v>
      </c>
      <c r="B995" s="586" t="s">
        <v>298</v>
      </c>
      <c r="C995" s="587"/>
      <c r="D995" s="587"/>
      <c r="E995" s="64">
        <v>100000</v>
      </c>
      <c r="F995" s="64">
        <v>100000</v>
      </c>
      <c r="G995" s="64">
        <v>0</v>
      </c>
      <c r="H995" s="16">
        <f t="shared" si="55"/>
        <v>0</v>
      </c>
      <c r="I995" s="16">
        <f t="shared" si="56"/>
        <v>0</v>
      </c>
    </row>
    <row r="996" spans="1:9" ht="23.25" customHeight="1">
      <c r="A996" s="350"/>
      <c r="B996" s="590" t="s">
        <v>1022</v>
      </c>
      <c r="C996" s="591"/>
      <c r="D996" s="591"/>
      <c r="E996" s="64">
        <v>0</v>
      </c>
      <c r="F996" s="64">
        <v>0</v>
      </c>
      <c r="G996" s="64">
        <v>49397</v>
      </c>
      <c r="H996" s="16" t="e">
        <f t="shared" si="55"/>
        <v>#DIV/0!</v>
      </c>
      <c r="I996" s="16" t="e">
        <f t="shared" si="56"/>
        <v>#DIV/0!</v>
      </c>
    </row>
    <row r="997" spans="1:9" ht="25.5" customHeight="1">
      <c r="A997" s="358"/>
      <c r="B997" s="621" t="s">
        <v>80</v>
      </c>
      <c r="C997" s="622"/>
      <c r="D997" s="622"/>
      <c r="E997" s="66">
        <f>E998+E999+E1007+E1008+E1009+E1010</f>
        <v>200000</v>
      </c>
      <c r="F997" s="66">
        <f>F998+F999+F1007+F1008+F1009+F1010</f>
        <v>124304.51</v>
      </c>
      <c r="G997" s="66">
        <f>G998+G999+G1007+G1008+G1009+G1010</f>
        <v>0</v>
      </c>
      <c r="H997" s="21">
        <f t="shared" si="55"/>
        <v>0</v>
      </c>
      <c r="I997" s="21">
        <f t="shared" si="56"/>
        <v>0</v>
      </c>
    </row>
    <row r="998" spans="1:9" ht="23.25" customHeight="1">
      <c r="A998" s="355">
        <v>85969</v>
      </c>
      <c r="B998" s="586" t="s">
        <v>1089</v>
      </c>
      <c r="C998" s="587"/>
      <c r="D998" s="587"/>
      <c r="E998" s="64">
        <v>22000</v>
      </c>
      <c r="F998" s="64">
        <v>0</v>
      </c>
      <c r="G998" s="64">
        <v>0</v>
      </c>
      <c r="H998" s="16">
        <f t="shared" si="55"/>
        <v>0</v>
      </c>
      <c r="I998" s="16" t="e">
        <f t="shared" si="56"/>
        <v>#DIV/0!</v>
      </c>
    </row>
    <row r="999" spans="1:9" ht="23.25" customHeight="1">
      <c r="A999" s="355">
        <v>85970</v>
      </c>
      <c r="B999" s="586" t="s">
        <v>1090</v>
      </c>
      <c r="C999" s="587"/>
      <c r="D999" s="587"/>
      <c r="E999" s="64">
        <v>85000</v>
      </c>
      <c r="F999" s="64">
        <v>85000</v>
      </c>
      <c r="G999" s="64">
        <v>0</v>
      </c>
      <c r="H999" s="16">
        <f t="shared" si="55"/>
        <v>0</v>
      </c>
      <c r="I999" s="16">
        <f t="shared" si="56"/>
        <v>0</v>
      </c>
    </row>
    <row r="1000" spans="1:9" ht="23.25" customHeight="1">
      <c r="A1000" s="357"/>
      <c r="B1000" s="409"/>
      <c r="C1000" s="409"/>
      <c r="D1000" s="409"/>
      <c r="E1000" s="404"/>
      <c r="F1000" s="404"/>
      <c r="G1000" s="404"/>
      <c r="H1000" s="92"/>
      <c r="I1000" s="92"/>
    </row>
    <row r="1001" spans="1:9" ht="23.25" customHeight="1">
      <c r="A1001" s="357"/>
      <c r="B1001" s="409"/>
      <c r="C1001" s="409"/>
      <c r="D1001" s="409"/>
      <c r="E1001" s="404"/>
      <c r="F1001" s="404"/>
      <c r="G1001" s="404"/>
      <c r="H1001" s="92"/>
      <c r="I1001" s="92"/>
    </row>
    <row r="1002" ht="23.25" customHeight="1"/>
    <row r="1003" ht="23.25" customHeight="1">
      <c r="I1003" s="443">
        <v>14</v>
      </c>
    </row>
    <row r="1004" ht="23.25" customHeight="1">
      <c r="I1004" s="272"/>
    </row>
    <row r="1005" ht="23.25" customHeight="1">
      <c r="I1005" s="272"/>
    </row>
    <row r="1006" spans="1:9" ht="23.25" customHeight="1">
      <c r="A1006" s="357"/>
      <c r="B1006" s="409"/>
      <c r="C1006" s="409"/>
      <c r="D1006" s="409"/>
      <c r="E1006" s="404"/>
      <c r="F1006" s="404"/>
      <c r="G1006" s="404"/>
      <c r="H1006" s="92"/>
      <c r="I1006" s="92"/>
    </row>
    <row r="1007" spans="1:9" ht="23.25" customHeight="1">
      <c r="A1007" s="355">
        <v>85971</v>
      </c>
      <c r="B1007" s="586" t="s">
        <v>1092</v>
      </c>
      <c r="C1007" s="587"/>
      <c r="D1007" s="587"/>
      <c r="E1007" s="64">
        <v>50000</v>
      </c>
      <c r="F1007" s="64">
        <v>24328.61</v>
      </c>
      <c r="G1007" s="64">
        <v>0</v>
      </c>
      <c r="H1007" s="16">
        <f>G1007/E1007</f>
        <v>0</v>
      </c>
      <c r="I1007" s="16">
        <f>G1007/F1007</f>
        <v>0</v>
      </c>
    </row>
    <row r="1008" spans="1:9" ht="23.25" customHeight="1">
      <c r="A1008" s="355">
        <v>85972</v>
      </c>
      <c r="B1008" s="586" t="s">
        <v>1093</v>
      </c>
      <c r="C1008" s="587"/>
      <c r="D1008" s="587"/>
      <c r="E1008" s="64">
        <v>20000</v>
      </c>
      <c r="F1008" s="64">
        <v>0</v>
      </c>
      <c r="G1008" s="64">
        <v>0</v>
      </c>
      <c r="H1008" s="16">
        <f>G1008/E1008</f>
        <v>0</v>
      </c>
      <c r="I1008" s="16" t="e">
        <f>G1008/F1008</f>
        <v>#DIV/0!</v>
      </c>
    </row>
    <row r="1009" spans="1:9" ht="23.25" customHeight="1">
      <c r="A1009" s="352">
        <v>85973</v>
      </c>
      <c r="B1009" s="586" t="s">
        <v>1094</v>
      </c>
      <c r="C1009" s="587"/>
      <c r="D1009" s="587"/>
      <c r="E1009" s="64">
        <v>20000</v>
      </c>
      <c r="F1009" s="64">
        <v>14975.9</v>
      </c>
      <c r="G1009" s="64">
        <v>0</v>
      </c>
      <c r="H1009" s="16">
        <f>G1009/E1009</f>
        <v>0</v>
      </c>
      <c r="I1009" s="16">
        <f>G1009/F1009</f>
        <v>0</v>
      </c>
    </row>
    <row r="1010" spans="1:9" ht="23.25" customHeight="1">
      <c r="A1010" s="352">
        <v>85974</v>
      </c>
      <c r="B1010" s="586" t="s">
        <v>1023</v>
      </c>
      <c r="C1010" s="587"/>
      <c r="D1010" s="587"/>
      <c r="E1010" s="64">
        <v>3000</v>
      </c>
      <c r="F1010" s="64">
        <v>0</v>
      </c>
      <c r="G1010" s="64">
        <v>0</v>
      </c>
      <c r="H1010" s="16">
        <f>G1010/E1010</f>
        <v>0</v>
      </c>
      <c r="I1010" s="16" t="e">
        <f>G1010/F1010</f>
        <v>#DIV/0!</v>
      </c>
    </row>
    <row r="1011" spans="1:9" ht="26.25" customHeight="1">
      <c r="A1011" s="358"/>
      <c r="B1011" s="621" t="s">
        <v>490</v>
      </c>
      <c r="C1011" s="622"/>
      <c r="D1011" s="622"/>
      <c r="E1011" s="66">
        <f>E1012+E1013+E1014+E1015+E1016</f>
        <v>45000</v>
      </c>
      <c r="F1011" s="66">
        <f>F1012+F1013+F1014+F1015+F1016</f>
        <v>83457.48</v>
      </c>
      <c r="G1011" s="66">
        <f>G1012+G1013+G1014+G1016</f>
        <v>8932.98</v>
      </c>
      <c r="H1011" s="21">
        <f t="shared" si="55"/>
        <v>0.19851066666666667</v>
      </c>
      <c r="I1011" s="21">
        <f t="shared" si="56"/>
        <v>0.10703630159932938</v>
      </c>
    </row>
    <row r="1012" spans="1:9" ht="23.25" customHeight="1">
      <c r="A1012" s="355">
        <v>85975</v>
      </c>
      <c r="B1012" s="586" t="s">
        <v>1024</v>
      </c>
      <c r="C1012" s="587"/>
      <c r="D1012" s="587"/>
      <c r="E1012" s="64">
        <v>45000</v>
      </c>
      <c r="F1012" s="332">
        <v>15000</v>
      </c>
      <c r="G1012" s="332">
        <v>0</v>
      </c>
      <c r="H1012" s="16">
        <f t="shared" si="55"/>
        <v>0</v>
      </c>
      <c r="I1012" s="16">
        <f t="shared" si="56"/>
        <v>0</v>
      </c>
    </row>
    <row r="1013" spans="1:9" ht="23.25" customHeight="1">
      <c r="A1013" s="357">
        <v>82971</v>
      </c>
      <c r="B1013" s="667" t="s">
        <v>1025</v>
      </c>
      <c r="C1013" s="668"/>
      <c r="D1013" s="668"/>
      <c r="E1013" s="64">
        <v>0</v>
      </c>
      <c r="F1013" s="332">
        <v>17558</v>
      </c>
      <c r="G1013" s="332">
        <v>0</v>
      </c>
      <c r="H1013" s="16" t="e">
        <f t="shared" si="55"/>
        <v>#DIV/0!</v>
      </c>
      <c r="I1013" s="16">
        <f t="shared" si="56"/>
        <v>0</v>
      </c>
    </row>
    <row r="1014" spans="1:9" ht="23.25" customHeight="1">
      <c r="A1014" s="355">
        <v>84211</v>
      </c>
      <c r="B1014" s="586" t="s">
        <v>1095</v>
      </c>
      <c r="C1014" s="587"/>
      <c r="D1014" s="595"/>
      <c r="E1014" s="64">
        <v>0</v>
      </c>
      <c r="F1014" s="332">
        <v>30000</v>
      </c>
      <c r="G1014" s="332">
        <v>0</v>
      </c>
      <c r="H1014" s="16" t="e">
        <f t="shared" si="55"/>
        <v>#DIV/0!</v>
      </c>
      <c r="I1014" s="16">
        <f t="shared" si="56"/>
        <v>0</v>
      </c>
    </row>
    <row r="1015" spans="1:9" ht="23.25" customHeight="1">
      <c r="A1015" s="355">
        <v>84212</v>
      </c>
      <c r="B1015" s="586" t="s">
        <v>1026</v>
      </c>
      <c r="C1015" s="587"/>
      <c r="D1015" s="595"/>
      <c r="E1015" s="64">
        <v>0</v>
      </c>
      <c r="F1015" s="332">
        <v>11966.5</v>
      </c>
      <c r="G1015" s="332">
        <v>0</v>
      </c>
      <c r="H1015" s="16" t="e">
        <f>G1015/E1015</f>
        <v>#DIV/0!</v>
      </c>
      <c r="I1015" s="16">
        <f>G1015/F1015</f>
        <v>0</v>
      </c>
    </row>
    <row r="1016" spans="1:9" ht="23.25" customHeight="1">
      <c r="A1016" s="355"/>
      <c r="B1016" s="483" t="s">
        <v>1044</v>
      </c>
      <c r="C1016" s="666"/>
      <c r="D1016" s="484"/>
      <c r="E1016" s="64">
        <v>0</v>
      </c>
      <c r="F1016" s="332">
        <v>8932.98</v>
      </c>
      <c r="G1016" s="332">
        <v>8932.98</v>
      </c>
      <c r="H1016" s="16" t="e">
        <f t="shared" si="55"/>
        <v>#DIV/0!</v>
      </c>
      <c r="I1016" s="16">
        <f t="shared" si="56"/>
        <v>1</v>
      </c>
    </row>
    <row r="1017" spans="1:9" ht="26.25" customHeight="1">
      <c r="A1017" s="358"/>
      <c r="B1017" s="669" t="s">
        <v>488</v>
      </c>
      <c r="C1017" s="669"/>
      <c r="D1017" s="621"/>
      <c r="E1017" s="66">
        <f>E1018</f>
        <v>69000</v>
      </c>
      <c r="F1017" s="66">
        <f>F1018</f>
        <v>0</v>
      </c>
      <c r="G1017" s="66">
        <f>G1018</f>
        <v>0</v>
      </c>
      <c r="H1017" s="21">
        <f t="shared" si="55"/>
        <v>0</v>
      </c>
      <c r="I1017" s="21" t="e">
        <f t="shared" si="56"/>
        <v>#DIV/0!</v>
      </c>
    </row>
    <row r="1018" spans="1:9" ht="23.25" customHeight="1">
      <c r="A1018" s="355">
        <v>85976</v>
      </c>
      <c r="B1018" s="586" t="s">
        <v>1027</v>
      </c>
      <c r="C1018" s="587"/>
      <c r="D1018" s="587"/>
      <c r="E1018" s="64">
        <v>69000</v>
      </c>
      <c r="F1018" s="64">
        <v>0</v>
      </c>
      <c r="G1018" s="64">
        <v>0</v>
      </c>
      <c r="H1018" s="16">
        <f t="shared" si="55"/>
        <v>0</v>
      </c>
      <c r="I1018" s="16" t="e">
        <f t="shared" si="56"/>
        <v>#DIV/0!</v>
      </c>
    </row>
    <row r="1019" spans="1:9" ht="26.25" customHeight="1">
      <c r="A1019" s="358"/>
      <c r="B1019" s="621" t="s">
        <v>84</v>
      </c>
      <c r="C1019" s="622"/>
      <c r="D1019" s="622"/>
      <c r="E1019" s="66">
        <f>E1020+E1021+E1022</f>
        <v>150000</v>
      </c>
      <c r="F1019" s="66">
        <f>F1020+F1021+F1022</f>
        <v>92704</v>
      </c>
      <c r="G1019" s="66">
        <f>G1020+G1021+G1022</f>
        <v>57470</v>
      </c>
      <c r="H1019" s="21">
        <f t="shared" si="55"/>
        <v>0.3831333333333333</v>
      </c>
      <c r="I1019" s="21">
        <f t="shared" si="56"/>
        <v>0.6199301001035554</v>
      </c>
    </row>
    <row r="1020" spans="1:9" ht="23.25" customHeight="1">
      <c r="A1020" s="352">
        <v>85977</v>
      </c>
      <c r="B1020" s="586" t="s">
        <v>1102</v>
      </c>
      <c r="C1020" s="587"/>
      <c r="D1020" s="587"/>
      <c r="E1020" s="64">
        <v>150000</v>
      </c>
      <c r="F1020" s="64">
        <v>0</v>
      </c>
      <c r="G1020" s="64">
        <v>0</v>
      </c>
      <c r="H1020" s="16">
        <f t="shared" si="55"/>
        <v>0</v>
      </c>
      <c r="I1020" s="16" t="e">
        <f t="shared" si="56"/>
        <v>#DIV/0!</v>
      </c>
    </row>
    <row r="1021" spans="1:9" ht="23.25" customHeight="1">
      <c r="A1021" s="352">
        <v>82976</v>
      </c>
      <c r="B1021" s="586" t="s">
        <v>732</v>
      </c>
      <c r="C1021" s="587"/>
      <c r="D1021" s="587"/>
      <c r="E1021" s="64">
        <v>0</v>
      </c>
      <c r="F1021" s="64">
        <v>78204</v>
      </c>
      <c r="G1021" s="64">
        <v>57470</v>
      </c>
      <c r="H1021" s="16" t="e">
        <f t="shared" si="55"/>
        <v>#DIV/0!</v>
      </c>
      <c r="I1021" s="16">
        <f t="shared" si="56"/>
        <v>0.7348728965270319</v>
      </c>
    </row>
    <row r="1022" spans="1:9" ht="23.25" customHeight="1">
      <c r="A1022" s="352">
        <v>84124</v>
      </c>
      <c r="B1022" s="586" t="s">
        <v>1029</v>
      </c>
      <c r="C1022" s="587"/>
      <c r="D1022" s="587"/>
      <c r="E1022" s="64">
        <v>0</v>
      </c>
      <c r="F1022" s="64">
        <v>14500</v>
      </c>
      <c r="G1022" s="64">
        <v>0</v>
      </c>
      <c r="H1022" s="16" t="e">
        <f t="shared" si="55"/>
        <v>#DIV/0!</v>
      </c>
      <c r="I1022" s="16">
        <f t="shared" si="56"/>
        <v>0</v>
      </c>
    </row>
    <row r="1023" spans="1:9" ht="26.25" customHeight="1">
      <c r="A1023" s="358"/>
      <c r="B1023" s="621" t="s">
        <v>85</v>
      </c>
      <c r="C1023" s="622"/>
      <c r="D1023" s="622"/>
      <c r="E1023" s="66">
        <f>E1024+E1027</f>
        <v>82578</v>
      </c>
      <c r="F1023" s="66">
        <f>F1024+F1027</f>
        <v>78176.83</v>
      </c>
      <c r="G1023" s="66">
        <f>G1024+G1027</f>
        <v>0</v>
      </c>
      <c r="H1023" s="21">
        <f t="shared" si="55"/>
        <v>0</v>
      </c>
      <c r="I1023" s="21">
        <f t="shared" si="56"/>
        <v>0</v>
      </c>
    </row>
    <row r="1024" spans="1:9" ht="26.25" customHeight="1">
      <c r="A1024" s="364"/>
      <c r="B1024" s="672" t="s">
        <v>1028</v>
      </c>
      <c r="C1024" s="673"/>
      <c r="D1024" s="673"/>
      <c r="E1024" s="368">
        <f>E1025+E1026</f>
        <v>67578</v>
      </c>
      <c r="F1024" s="368">
        <f>F1025+F1026</f>
        <v>43176.83</v>
      </c>
      <c r="G1024" s="368">
        <f>G1025+G1026</f>
        <v>0</v>
      </c>
      <c r="H1024" s="406">
        <f t="shared" si="55"/>
        <v>0</v>
      </c>
      <c r="I1024" s="406">
        <f t="shared" si="56"/>
        <v>0</v>
      </c>
    </row>
    <row r="1025" spans="1:9" ht="23.25" customHeight="1">
      <c r="A1025" s="355">
        <v>85978</v>
      </c>
      <c r="B1025" s="586" t="s">
        <v>1030</v>
      </c>
      <c r="C1025" s="587"/>
      <c r="D1025" s="587"/>
      <c r="E1025" s="64">
        <v>67578</v>
      </c>
      <c r="F1025" s="64">
        <v>30000</v>
      </c>
      <c r="G1025" s="64">
        <v>0</v>
      </c>
      <c r="H1025" s="16">
        <f t="shared" si="55"/>
        <v>0</v>
      </c>
      <c r="I1025" s="16">
        <f t="shared" si="56"/>
        <v>0</v>
      </c>
    </row>
    <row r="1026" spans="1:9" ht="23.25" customHeight="1">
      <c r="A1026" s="355">
        <v>82979</v>
      </c>
      <c r="B1026" s="586" t="s">
        <v>1031</v>
      </c>
      <c r="C1026" s="587"/>
      <c r="D1026" s="587"/>
      <c r="E1026" s="64">
        <v>0</v>
      </c>
      <c r="F1026" s="332">
        <v>13176.83</v>
      </c>
      <c r="G1026" s="64">
        <v>0</v>
      </c>
      <c r="H1026" s="16" t="e">
        <f t="shared" si="55"/>
        <v>#DIV/0!</v>
      </c>
      <c r="I1026" s="16">
        <f t="shared" si="56"/>
        <v>0</v>
      </c>
    </row>
    <row r="1027" spans="1:9" ht="26.25" customHeight="1">
      <c r="A1027" s="362"/>
      <c r="B1027" s="363" t="s">
        <v>487</v>
      </c>
      <c r="C1027" s="363"/>
      <c r="D1027" s="363"/>
      <c r="E1027" s="368">
        <f>E1028+E1029</f>
        <v>15000</v>
      </c>
      <c r="F1027" s="368">
        <f>F1028+F1029</f>
        <v>35000</v>
      </c>
      <c r="G1027" s="368">
        <f>G1028+G1029</f>
        <v>0</v>
      </c>
      <c r="H1027" s="405">
        <f t="shared" si="55"/>
        <v>0</v>
      </c>
      <c r="I1027" s="405">
        <f t="shared" si="56"/>
        <v>0</v>
      </c>
    </row>
    <row r="1028" spans="1:9" ht="23.25" customHeight="1">
      <c r="A1028" s="352">
        <v>85979</v>
      </c>
      <c r="B1028" s="586" t="s">
        <v>290</v>
      </c>
      <c r="C1028" s="587"/>
      <c r="D1028" s="587"/>
      <c r="E1028" s="64">
        <v>15000</v>
      </c>
      <c r="F1028" s="64">
        <v>0</v>
      </c>
      <c r="G1028" s="64">
        <v>0</v>
      </c>
      <c r="H1028" s="16">
        <f t="shared" si="55"/>
        <v>0</v>
      </c>
      <c r="I1028" s="16" t="e">
        <f t="shared" si="56"/>
        <v>#DIV/0!</v>
      </c>
    </row>
    <row r="1029" spans="1:9" ht="23.25" customHeight="1">
      <c r="A1029" s="355">
        <v>82980</v>
      </c>
      <c r="B1029" s="586" t="s">
        <v>1032</v>
      </c>
      <c r="C1029" s="587"/>
      <c r="D1029" s="587"/>
      <c r="E1029" s="64">
        <v>0</v>
      </c>
      <c r="F1029" s="64">
        <v>35000</v>
      </c>
      <c r="G1029" s="64">
        <v>0</v>
      </c>
      <c r="H1029" s="16" t="e">
        <f t="shared" si="55"/>
        <v>#DIV/0!</v>
      </c>
      <c r="I1029" s="16">
        <f t="shared" si="56"/>
        <v>0</v>
      </c>
    </row>
    <row r="1030" spans="1:9" ht="24" customHeight="1">
      <c r="A1030" s="358"/>
      <c r="B1030" s="359" t="s">
        <v>90</v>
      </c>
      <c r="C1030" s="359"/>
      <c r="D1030" s="359"/>
      <c r="E1030" s="66">
        <f>E1031+E1032+E1033+E1034+E1035</f>
        <v>150000</v>
      </c>
      <c r="F1030" s="66">
        <f>F1031+F1032+F1033+F1034+F1035</f>
        <v>82635</v>
      </c>
      <c r="G1030" s="66">
        <f>G1031+G1032+G1033+G1034+G1035</f>
        <v>62080.4</v>
      </c>
      <c r="H1030" s="21">
        <f t="shared" si="55"/>
        <v>0.41386933333333337</v>
      </c>
      <c r="I1030" s="21">
        <f t="shared" si="56"/>
        <v>0.7512603618321535</v>
      </c>
    </row>
    <row r="1031" spans="1:9" ht="23.25" customHeight="1">
      <c r="A1031" s="355">
        <v>85980</v>
      </c>
      <c r="B1031" s="586" t="s">
        <v>1033</v>
      </c>
      <c r="C1031" s="587"/>
      <c r="D1031" s="587"/>
      <c r="E1031" s="64">
        <v>75000</v>
      </c>
      <c r="F1031" s="64">
        <v>46635</v>
      </c>
      <c r="G1031" s="64">
        <v>46228.4</v>
      </c>
      <c r="H1031" s="16">
        <f t="shared" si="55"/>
        <v>0.6163786666666667</v>
      </c>
      <c r="I1031" s="16">
        <f t="shared" si="56"/>
        <v>0.9912812265465852</v>
      </c>
    </row>
    <row r="1032" spans="1:9" ht="23.25" customHeight="1">
      <c r="A1032" s="355">
        <v>85981</v>
      </c>
      <c r="B1032" s="586" t="s">
        <v>1103</v>
      </c>
      <c r="C1032" s="587"/>
      <c r="D1032" s="587"/>
      <c r="E1032" s="64">
        <v>30000</v>
      </c>
      <c r="F1032" s="64">
        <v>10000</v>
      </c>
      <c r="G1032" s="64">
        <v>0</v>
      </c>
      <c r="H1032" s="16">
        <f t="shared" si="55"/>
        <v>0</v>
      </c>
      <c r="I1032" s="16">
        <f t="shared" si="56"/>
        <v>0</v>
      </c>
    </row>
    <row r="1033" spans="1:9" ht="23.25" customHeight="1">
      <c r="A1033" s="355">
        <v>85962</v>
      </c>
      <c r="B1033" s="587" t="s">
        <v>1104</v>
      </c>
      <c r="C1033" s="587"/>
      <c r="D1033" s="587"/>
      <c r="E1033" s="64">
        <v>35000</v>
      </c>
      <c r="F1033" s="64">
        <v>10000</v>
      </c>
      <c r="G1033" s="64">
        <v>9890</v>
      </c>
      <c r="H1033" s="16">
        <f t="shared" si="55"/>
        <v>0.2825714285714286</v>
      </c>
      <c r="I1033" s="16">
        <f t="shared" si="56"/>
        <v>0.989</v>
      </c>
    </row>
    <row r="1034" spans="1:9" ht="23.25" customHeight="1">
      <c r="A1034" s="355">
        <v>85983</v>
      </c>
      <c r="B1034" s="586" t="s">
        <v>1105</v>
      </c>
      <c r="C1034" s="587"/>
      <c r="D1034" s="587"/>
      <c r="E1034" s="64">
        <v>10000</v>
      </c>
      <c r="F1034" s="64">
        <v>10000</v>
      </c>
      <c r="G1034" s="64">
        <v>0</v>
      </c>
      <c r="H1034" s="16">
        <f t="shared" si="55"/>
        <v>0</v>
      </c>
      <c r="I1034" s="16">
        <f t="shared" si="56"/>
        <v>0</v>
      </c>
    </row>
    <row r="1035" spans="1:9" ht="23.25" customHeight="1">
      <c r="A1035" s="355">
        <v>84213</v>
      </c>
      <c r="B1035" s="586" t="s">
        <v>1106</v>
      </c>
      <c r="C1035" s="587"/>
      <c r="D1035" s="587"/>
      <c r="E1035" s="64">
        <v>0</v>
      </c>
      <c r="F1035" s="64">
        <v>6000</v>
      </c>
      <c r="G1035" s="64">
        <v>5962</v>
      </c>
      <c r="H1035" s="16" t="e">
        <f t="shared" si="55"/>
        <v>#DIV/0!</v>
      </c>
      <c r="I1035" s="16">
        <f t="shared" si="56"/>
        <v>0.9936666666666667</v>
      </c>
    </row>
    <row r="1036" spans="1:9" ht="23.25" customHeight="1">
      <c r="A1036" s="358"/>
      <c r="B1036" s="621" t="s">
        <v>91</v>
      </c>
      <c r="C1036" s="622"/>
      <c r="D1036" s="622"/>
      <c r="E1036" s="66">
        <f>E1037+E1041+E1043+E1045</f>
        <v>250000</v>
      </c>
      <c r="F1036" s="66">
        <f>F1037+F1041+F1043+F1045</f>
        <v>23000</v>
      </c>
      <c r="G1036" s="66">
        <f>G1037+G1041+G1043+G1045</f>
        <v>12796</v>
      </c>
      <c r="H1036" s="21">
        <f t="shared" si="55"/>
        <v>0.051184</v>
      </c>
      <c r="I1036" s="21">
        <f t="shared" si="56"/>
        <v>0.5563478260869565</v>
      </c>
    </row>
    <row r="1037" spans="1:9" ht="26.25" customHeight="1">
      <c r="A1037" s="362"/>
      <c r="B1037" s="672" t="s">
        <v>1045</v>
      </c>
      <c r="C1037" s="673"/>
      <c r="D1037" s="673"/>
      <c r="E1037" s="368">
        <f>E1038+E1039</f>
        <v>140000</v>
      </c>
      <c r="F1037" s="368">
        <f>F1038</f>
        <v>13000</v>
      </c>
      <c r="G1037" s="368">
        <f>G1038</f>
        <v>12796</v>
      </c>
      <c r="H1037" s="405">
        <f t="shared" si="55"/>
        <v>0.0914</v>
      </c>
      <c r="I1037" s="405">
        <f t="shared" si="56"/>
        <v>0.9843076923076923</v>
      </c>
    </row>
    <row r="1038" spans="1:9" ht="23.25" customHeight="1">
      <c r="A1038" s="362">
        <v>85984</v>
      </c>
      <c r="B1038" s="592" t="s">
        <v>1034</v>
      </c>
      <c r="C1038" s="593"/>
      <c r="D1038" s="593"/>
      <c r="E1038" s="361">
        <v>140000</v>
      </c>
      <c r="F1038" s="392">
        <f>F1039+F1040</f>
        <v>13000</v>
      </c>
      <c r="G1038" s="392">
        <f>G1039+G1040</f>
        <v>12796</v>
      </c>
      <c r="H1038" s="406">
        <f t="shared" si="55"/>
        <v>0.0914</v>
      </c>
      <c r="I1038" s="406">
        <f t="shared" si="56"/>
        <v>0.9843076923076923</v>
      </c>
    </row>
    <row r="1039" spans="1:9" ht="23.25" customHeight="1">
      <c r="A1039" s="351"/>
      <c r="B1039" s="590" t="s">
        <v>212</v>
      </c>
      <c r="C1039" s="591"/>
      <c r="D1039" s="591"/>
      <c r="E1039" s="64">
        <v>0</v>
      </c>
      <c r="F1039" s="64">
        <v>9796</v>
      </c>
      <c r="G1039" s="64">
        <v>9796</v>
      </c>
      <c r="H1039" s="16" t="e">
        <f t="shared" si="55"/>
        <v>#DIV/0!</v>
      </c>
      <c r="I1039" s="16">
        <f t="shared" si="56"/>
        <v>1</v>
      </c>
    </row>
    <row r="1040" spans="1:9" ht="23.25" customHeight="1">
      <c r="A1040" s="351"/>
      <c r="B1040" s="353" t="s">
        <v>1107</v>
      </c>
      <c r="C1040" s="354"/>
      <c r="D1040" s="354"/>
      <c r="E1040" s="64">
        <v>0</v>
      </c>
      <c r="F1040" s="64">
        <v>3204</v>
      </c>
      <c r="G1040" s="64">
        <v>3000</v>
      </c>
      <c r="H1040" s="16" t="e">
        <f t="shared" si="55"/>
        <v>#DIV/0!</v>
      </c>
      <c r="I1040" s="16">
        <f t="shared" si="56"/>
        <v>0.9363295880149812</v>
      </c>
    </row>
    <row r="1041" spans="1:9" ht="26.25" customHeight="1">
      <c r="A1041" s="364"/>
      <c r="B1041" s="372" t="s">
        <v>1035</v>
      </c>
      <c r="C1041" s="388"/>
      <c r="D1041" s="388"/>
      <c r="E1041" s="368">
        <f>E1042</f>
        <v>10000</v>
      </c>
      <c r="F1041" s="368">
        <f>F1042</f>
        <v>0</v>
      </c>
      <c r="G1041" s="368">
        <f>G1042</f>
        <v>0</v>
      </c>
      <c r="H1041" s="405">
        <f t="shared" si="55"/>
        <v>0</v>
      </c>
      <c r="I1041" s="405" t="e">
        <f t="shared" si="56"/>
        <v>#DIV/0!</v>
      </c>
    </row>
    <row r="1042" spans="1:9" ht="23.25" customHeight="1">
      <c r="A1042" s="352">
        <v>85985</v>
      </c>
      <c r="B1042" s="353" t="s">
        <v>1108</v>
      </c>
      <c r="C1042" s="354"/>
      <c r="D1042" s="354"/>
      <c r="E1042" s="64">
        <v>10000</v>
      </c>
      <c r="F1042" s="64">
        <v>0</v>
      </c>
      <c r="G1042" s="64">
        <v>0</v>
      </c>
      <c r="H1042" s="16">
        <f t="shared" si="55"/>
        <v>0</v>
      </c>
      <c r="I1042" s="16" t="e">
        <f t="shared" si="56"/>
        <v>#DIV/0!</v>
      </c>
    </row>
    <row r="1043" spans="1:9" ht="23.25" customHeight="1">
      <c r="A1043" s="364"/>
      <c r="B1043" s="672" t="s">
        <v>1046</v>
      </c>
      <c r="C1043" s="673"/>
      <c r="D1043" s="673"/>
      <c r="E1043" s="368">
        <f>E1044</f>
        <v>50000</v>
      </c>
      <c r="F1043" s="368">
        <f>F1044</f>
        <v>0</v>
      </c>
      <c r="G1043" s="368">
        <f>G1044</f>
        <v>0</v>
      </c>
      <c r="H1043" s="405">
        <f t="shared" si="55"/>
        <v>0</v>
      </c>
      <c r="I1043" s="405" t="e">
        <f t="shared" si="56"/>
        <v>#DIV/0!</v>
      </c>
    </row>
    <row r="1044" spans="1:9" ht="23.25" customHeight="1">
      <c r="A1044" s="355">
        <v>85986</v>
      </c>
      <c r="B1044" s="586" t="s">
        <v>1109</v>
      </c>
      <c r="C1044" s="587"/>
      <c r="D1044" s="587"/>
      <c r="E1044" s="64">
        <v>50000</v>
      </c>
      <c r="F1044" s="64">
        <v>0</v>
      </c>
      <c r="G1044" s="64">
        <v>0</v>
      </c>
      <c r="H1044" s="16">
        <f t="shared" si="55"/>
        <v>0</v>
      </c>
      <c r="I1044" s="16" t="e">
        <f t="shared" si="56"/>
        <v>#DIV/0!</v>
      </c>
    </row>
    <row r="1045" spans="1:9" ht="26.25" customHeight="1">
      <c r="A1045" s="364"/>
      <c r="B1045" s="672" t="s">
        <v>1047</v>
      </c>
      <c r="C1045" s="673"/>
      <c r="D1045" s="673"/>
      <c r="E1045" s="368">
        <f>E1046</f>
        <v>50000</v>
      </c>
      <c r="F1045" s="368">
        <f>F1046</f>
        <v>10000</v>
      </c>
      <c r="G1045" s="368">
        <f>G1046</f>
        <v>0</v>
      </c>
      <c r="H1045" s="405">
        <f t="shared" si="55"/>
        <v>0</v>
      </c>
      <c r="I1045" s="405">
        <f t="shared" si="56"/>
        <v>0</v>
      </c>
    </row>
    <row r="1046" spans="1:9" ht="23.25" customHeight="1">
      <c r="A1046" s="390">
        <v>85987</v>
      </c>
      <c r="B1046" s="667" t="s">
        <v>1110</v>
      </c>
      <c r="C1046" s="668"/>
      <c r="D1046" s="668"/>
      <c r="E1046" s="391">
        <v>50000</v>
      </c>
      <c r="F1046" s="64">
        <f>F1047</f>
        <v>10000</v>
      </c>
      <c r="G1046" s="64">
        <v>0</v>
      </c>
      <c r="H1046" s="16">
        <f t="shared" si="55"/>
        <v>0</v>
      </c>
      <c r="I1046" s="16">
        <f t="shared" si="56"/>
        <v>0</v>
      </c>
    </row>
    <row r="1047" spans="1:9" ht="23.25" customHeight="1" thickBot="1">
      <c r="A1047" s="390"/>
      <c r="B1047" s="667" t="s">
        <v>1036</v>
      </c>
      <c r="C1047" s="668"/>
      <c r="D1047" s="668"/>
      <c r="E1047" s="391">
        <v>0</v>
      </c>
      <c r="F1047" s="391">
        <v>10000</v>
      </c>
      <c r="G1047" s="391">
        <v>0</v>
      </c>
      <c r="H1047" s="407" t="e">
        <f t="shared" si="55"/>
        <v>#DIV/0!</v>
      </c>
      <c r="I1047" s="407">
        <f t="shared" si="56"/>
        <v>0</v>
      </c>
    </row>
    <row r="1048" spans="1:9" ht="30" customHeight="1" thickBot="1">
      <c r="A1048" s="365"/>
      <c r="B1048" s="677" t="s">
        <v>95</v>
      </c>
      <c r="C1048" s="678"/>
      <c r="D1048" s="678"/>
      <c r="E1048" s="366">
        <f>E930+E943+E954+E956+E987+E994+E997+E1011+E1017+E1019+E1023+E1030+E1036</f>
        <v>5090520.22</v>
      </c>
      <c r="F1048" s="366">
        <f>F930+F943+F954+F956+F987+F994+F997+F1011+F1017+F1019+F1023+F1030+F1036</f>
        <v>3929122.61</v>
      </c>
      <c r="G1048" s="366">
        <f>G930+G943+G954+G956+G987+G994+G997+G1011+G1017+G1019+G1023+G1030+G1036</f>
        <v>962637.89</v>
      </c>
      <c r="H1048" s="396">
        <f t="shared" si="55"/>
        <v>0.18910403031460704</v>
      </c>
      <c r="I1048" s="397">
        <f t="shared" si="56"/>
        <v>0.2450007254927583</v>
      </c>
    </row>
    <row r="1049" spans="2:9" ht="23.25" customHeight="1">
      <c r="B1049" s="349"/>
      <c r="C1049" s="349"/>
      <c r="D1049" s="349"/>
      <c r="E1049" s="349"/>
      <c r="F1049" s="349"/>
      <c r="G1049" s="349"/>
      <c r="H1049" s="349"/>
      <c r="I1049" s="349"/>
    </row>
    <row r="1050" spans="1:9" ht="23.25" customHeight="1">
      <c r="A1050" s="1" t="s">
        <v>840</v>
      </c>
      <c r="B1050" s="503" t="s">
        <v>961</v>
      </c>
      <c r="C1050" s="503"/>
      <c r="D1050" s="503"/>
      <c r="E1050" s="503"/>
      <c r="F1050" s="503"/>
      <c r="G1050" s="503"/>
      <c r="H1050" s="503"/>
      <c r="I1050" s="503"/>
    </row>
    <row r="1051" spans="2:9" ht="23.25" customHeight="1">
      <c r="B1051" s="349"/>
      <c r="C1051" s="349"/>
      <c r="D1051" s="349"/>
      <c r="E1051" s="349"/>
      <c r="F1051" s="349"/>
      <c r="G1051" s="349"/>
      <c r="H1051" s="349"/>
      <c r="I1051" s="349"/>
    </row>
    <row r="1052" spans="2:9" ht="23.25" customHeight="1">
      <c r="B1052" s="349"/>
      <c r="C1052" s="349"/>
      <c r="D1052" s="349"/>
      <c r="E1052" s="349"/>
      <c r="F1052" s="349"/>
      <c r="G1052" s="349"/>
      <c r="H1052" s="349"/>
      <c r="I1052" s="349"/>
    </row>
    <row r="1053" spans="2:9" ht="23.25" customHeight="1">
      <c r="B1053" s="349"/>
      <c r="C1053" s="349"/>
      <c r="D1053" s="349"/>
      <c r="E1053" s="349"/>
      <c r="F1053" s="349"/>
      <c r="G1053" s="349"/>
      <c r="H1053" s="349"/>
      <c r="I1053" s="349"/>
    </row>
    <row r="1054" spans="2:9" ht="23.25" customHeight="1">
      <c r="B1054" s="349"/>
      <c r="C1054" s="349"/>
      <c r="D1054" s="349"/>
      <c r="E1054" s="410"/>
      <c r="F1054" s="349"/>
      <c r="G1054" s="349"/>
      <c r="H1054" s="349"/>
      <c r="I1054" s="349"/>
    </row>
    <row r="1055" spans="2:9" ht="23.25" customHeight="1">
      <c r="B1055" s="349"/>
      <c r="C1055" s="349"/>
      <c r="D1055" s="349"/>
      <c r="E1055" s="349"/>
      <c r="F1055" s="349"/>
      <c r="G1055" s="349"/>
      <c r="H1055" s="349"/>
      <c r="I1055" s="349"/>
    </row>
    <row r="1056" spans="2:8" ht="23.25" customHeight="1">
      <c r="B1056" s="349"/>
      <c r="C1056" s="349"/>
      <c r="D1056" s="349"/>
      <c r="E1056" s="349"/>
      <c r="F1056" s="349"/>
      <c r="G1056" s="349"/>
      <c r="H1056" s="349"/>
    </row>
    <row r="1057" spans="1:9" ht="23.25" customHeight="1">
      <c r="A1057" s="349"/>
      <c r="B1057" s="349"/>
      <c r="C1057" s="349"/>
      <c r="D1057" s="349"/>
      <c r="E1057" s="349"/>
      <c r="F1057" s="349"/>
      <c r="G1057" s="349"/>
      <c r="H1057" s="349"/>
      <c r="I1057" s="442">
        <v>15</v>
      </c>
    </row>
    <row r="1058" spans="1:8" ht="23.25" customHeight="1">
      <c r="A1058" s="349"/>
      <c r="B1058" s="349"/>
      <c r="C1058" s="349"/>
      <c r="D1058" s="349"/>
      <c r="E1058" s="349"/>
      <c r="F1058" s="349"/>
      <c r="G1058" s="349"/>
      <c r="H1058" s="349"/>
    </row>
    <row r="1059" s="135" customFormat="1" ht="20.25" customHeight="1"/>
    <row r="1060" s="135" customFormat="1" ht="20.25" customHeight="1">
      <c r="I1060" s="349"/>
    </row>
    <row r="1061" spans="1:9" s="135" customFormat="1" ht="34.5" customHeight="1">
      <c r="A1061" s="608" t="s">
        <v>790</v>
      </c>
      <c r="B1061" s="608"/>
      <c r="C1061" s="608"/>
      <c r="D1061" s="608"/>
      <c r="E1061" s="608"/>
      <c r="I1061" s="272"/>
    </row>
    <row r="1062" spans="1:9" s="135" customFormat="1" ht="20.25" customHeight="1">
      <c r="A1062" s="278"/>
      <c r="B1062" s="278"/>
      <c r="C1062" s="278"/>
      <c r="D1062" s="278"/>
      <c r="E1062" s="278"/>
      <c r="I1062" s="272"/>
    </row>
    <row r="1063" s="135" customFormat="1" ht="20.25" customHeight="1">
      <c r="I1063" s="272"/>
    </row>
    <row r="1064" s="135" customFormat="1" ht="20.25" customHeight="1">
      <c r="I1064" s="272"/>
    </row>
    <row r="1065" spans="2:9" s="135" customFormat="1" ht="20.25" customHeight="1">
      <c r="B1065" s="518" t="s">
        <v>590</v>
      </c>
      <c r="C1065" s="518"/>
      <c r="D1065" s="518"/>
      <c r="E1065" s="518"/>
      <c r="F1065" s="518"/>
      <c r="G1065" s="518"/>
      <c r="H1065" s="518"/>
      <c r="I1065" s="518"/>
    </row>
    <row r="1066" s="135" customFormat="1" ht="20.25" customHeight="1">
      <c r="I1066" s="272"/>
    </row>
    <row r="1067" spans="1:8" s="135" customFormat="1" ht="20.25" customHeight="1">
      <c r="A1067" s="40"/>
      <c r="B1067" s="40"/>
      <c r="C1067"/>
      <c r="D1067" s="487" t="s">
        <v>682</v>
      </c>
      <c r="E1067" s="487"/>
      <c r="F1067" s="487"/>
      <c r="G1067" s="40"/>
      <c r="H1067" s="40"/>
    </row>
    <row r="1068" spans="1:8" s="135" customFormat="1" ht="20.25" customHeight="1">
      <c r="A1068" s="40"/>
      <c r="B1068" s="40"/>
      <c r="C1068" s="40"/>
      <c r="D1068" s="40"/>
      <c r="E1068" s="40"/>
      <c r="F1068" s="40"/>
      <c r="G1068" s="40"/>
      <c r="H1068" s="40"/>
    </row>
    <row r="1069" spans="1:9" s="135" customFormat="1" ht="20.25" customHeight="1">
      <c r="A1069" s="22" t="s">
        <v>683</v>
      </c>
      <c r="B1069" s="491" t="s">
        <v>688</v>
      </c>
      <c r="C1069" s="492"/>
      <c r="D1069" s="5" t="s">
        <v>686</v>
      </c>
      <c r="E1069" s="5" t="s">
        <v>712</v>
      </c>
      <c r="F1069" s="5" t="s">
        <v>686</v>
      </c>
      <c r="G1069" s="510" t="s">
        <v>713</v>
      </c>
      <c r="H1069" s="511"/>
      <c r="I1069" s="6" t="s">
        <v>714</v>
      </c>
    </row>
    <row r="1070" spans="1:9" s="135" customFormat="1" ht="20.25" customHeight="1">
      <c r="A1070" s="23" t="s">
        <v>97</v>
      </c>
      <c r="B1070" s="493"/>
      <c r="C1070" s="494"/>
      <c r="D1070" s="7" t="s">
        <v>656</v>
      </c>
      <c r="E1070" s="7" t="s">
        <v>715</v>
      </c>
      <c r="F1070" s="7" t="s">
        <v>657</v>
      </c>
      <c r="G1070" s="8" t="s">
        <v>706</v>
      </c>
      <c r="H1070" s="9" t="s">
        <v>707</v>
      </c>
      <c r="I1070" s="10" t="s">
        <v>717</v>
      </c>
    </row>
    <row r="1071" spans="1:9" s="135" customFormat="1" ht="20.25" customHeight="1">
      <c r="A1071" s="13">
        <v>1</v>
      </c>
      <c r="B1071" s="501">
        <v>2</v>
      </c>
      <c r="C1071" s="502"/>
      <c r="D1071" s="12">
        <v>3</v>
      </c>
      <c r="E1071" s="12">
        <v>4</v>
      </c>
      <c r="F1071" s="12">
        <v>5</v>
      </c>
      <c r="G1071" s="12">
        <v>6</v>
      </c>
      <c r="H1071" s="12">
        <v>7</v>
      </c>
      <c r="I1071" s="13">
        <v>8</v>
      </c>
    </row>
    <row r="1072" spans="1:9" s="135" customFormat="1" ht="20.25" customHeight="1">
      <c r="A1072" s="4">
        <v>111</v>
      </c>
      <c r="B1072" s="504" t="s">
        <v>540</v>
      </c>
      <c r="C1072" s="505"/>
      <c r="D1072" s="25">
        <f>41209.82+1102.5</f>
        <v>42312.32</v>
      </c>
      <c r="E1072" s="14">
        <v>111300</v>
      </c>
      <c r="F1072" s="14">
        <v>35817.01</v>
      </c>
      <c r="G1072" s="15">
        <f aca="true" t="shared" si="57" ref="G1072:G1077">F1072/D1072</f>
        <v>0.8464912819717757</v>
      </c>
      <c r="H1072" s="16">
        <f aca="true" t="shared" si="58" ref="H1072:H1077">F1072/E1072</f>
        <v>0.32180601976639717</v>
      </c>
      <c r="I1072" s="16">
        <f>F1072/F1077</f>
        <v>0.08604746829353363</v>
      </c>
    </row>
    <row r="1073" spans="1:9" s="135" customFormat="1" ht="20.25" customHeight="1">
      <c r="A1073" s="4">
        <v>130</v>
      </c>
      <c r="B1073" s="504" t="s">
        <v>541</v>
      </c>
      <c r="C1073" s="505"/>
      <c r="D1073" s="234">
        <f>53722+1053.2</f>
        <v>54775.2</v>
      </c>
      <c r="E1073" s="14">
        <f>56200+71149.78</f>
        <v>127349.78</v>
      </c>
      <c r="F1073" s="14">
        <v>100441.88</v>
      </c>
      <c r="G1073" s="15">
        <f t="shared" si="57"/>
        <v>1.8337108764550383</v>
      </c>
      <c r="H1073" s="16">
        <f t="shared" si="58"/>
        <v>0.7887087044830388</v>
      </c>
      <c r="I1073" s="16">
        <f>F1073/F1077</f>
        <v>0.24130348917017108</v>
      </c>
    </row>
    <row r="1074" spans="1:9" s="135" customFormat="1" ht="20.25" customHeight="1">
      <c r="A1074" s="4">
        <v>132</v>
      </c>
      <c r="B1074" s="504" t="s">
        <v>542</v>
      </c>
      <c r="C1074" s="505"/>
      <c r="D1074" s="238">
        <v>0</v>
      </c>
      <c r="E1074" s="14">
        <v>0</v>
      </c>
      <c r="F1074" s="14">
        <v>0</v>
      </c>
      <c r="G1074" s="15" t="e">
        <f t="shared" si="57"/>
        <v>#DIV/0!</v>
      </c>
      <c r="H1074" s="16" t="e">
        <f t="shared" si="58"/>
        <v>#DIV/0!</v>
      </c>
      <c r="I1074" s="16">
        <f>F1074/F1077</f>
        <v>0</v>
      </c>
    </row>
    <row r="1075" spans="1:9" s="135" customFormat="1" ht="20.25" customHeight="1">
      <c r="A1075" s="4">
        <v>200</v>
      </c>
      <c r="B1075" s="507" t="s">
        <v>543</v>
      </c>
      <c r="C1075" s="508"/>
      <c r="D1075" s="54">
        <v>142942</v>
      </c>
      <c r="E1075" s="14">
        <v>254000</v>
      </c>
      <c r="F1075" s="14">
        <v>209222.22</v>
      </c>
      <c r="G1075" s="15">
        <f t="shared" si="57"/>
        <v>1.4636861104503924</v>
      </c>
      <c r="H1075" s="16">
        <f t="shared" si="58"/>
        <v>0.8237095275590551</v>
      </c>
      <c r="I1075" s="16">
        <f>F1075/F1077</f>
        <v>0.5026394537610123</v>
      </c>
    </row>
    <row r="1076" spans="1:9" s="135" customFormat="1" ht="20.25" customHeight="1">
      <c r="A1076" s="4">
        <v>300</v>
      </c>
      <c r="B1076" s="504" t="s">
        <v>544</v>
      </c>
      <c r="C1076" s="505"/>
      <c r="D1076" s="25">
        <v>435669.03</v>
      </c>
      <c r="E1076" s="14">
        <f>646822.88-71149.78</f>
        <v>575673.1</v>
      </c>
      <c r="F1076" s="14">
        <v>70766</v>
      </c>
      <c r="G1076" s="15">
        <f t="shared" si="57"/>
        <v>0.16243064144357472</v>
      </c>
      <c r="H1076" s="16">
        <f t="shared" si="58"/>
        <v>0.12292740445923216</v>
      </c>
      <c r="I1076" s="16">
        <f>F1076/F1077</f>
        <v>0.17000958877528302</v>
      </c>
    </row>
    <row r="1077" spans="1:9" s="135" customFormat="1" ht="30" customHeight="1">
      <c r="A1077" s="17"/>
      <c r="B1077" s="583" t="s">
        <v>95</v>
      </c>
      <c r="C1077" s="584"/>
      <c r="D1077" s="279">
        <f>D1072+D1073+D1074+D1075+D1076</f>
        <v>675698.55</v>
      </c>
      <c r="E1077" s="36">
        <f>E1072+E1073+E1074+E1075+E1076</f>
        <v>1068322.88</v>
      </c>
      <c r="F1077" s="211">
        <f>F1072+F1073+F1074+F1075+F1076</f>
        <v>416247.11</v>
      </c>
      <c r="G1077" s="212">
        <f t="shared" si="57"/>
        <v>0.6160248678941223</v>
      </c>
      <c r="H1077" s="213">
        <f t="shared" si="58"/>
        <v>0.389626692259928</v>
      </c>
      <c r="I1077" s="213">
        <f>SUM(I1072:I1076)</f>
        <v>1</v>
      </c>
    </row>
    <row r="1078" spans="1:8" s="135" customFormat="1" ht="20.25" customHeight="1">
      <c r="A1078" s="49"/>
      <c r="B1078" s="49"/>
      <c r="C1078" s="49"/>
      <c r="D1078" s="49"/>
      <c r="E1078" s="208"/>
      <c r="F1078" s="49"/>
      <c r="G1078" s="49"/>
      <c r="H1078" s="40"/>
    </row>
    <row r="1079" spans="1:9" s="135" customFormat="1" ht="20.25" customHeight="1">
      <c r="A1079" s="289"/>
      <c r="B1079" s="600" t="s">
        <v>777</v>
      </c>
      <c r="C1079" s="600"/>
      <c r="D1079" s="600"/>
      <c r="E1079" s="600"/>
      <c r="F1079" s="600"/>
      <c r="G1079" s="600"/>
      <c r="H1079" s="600"/>
      <c r="I1079" s="600"/>
    </row>
    <row r="1080" spans="1:9" s="135" customFormat="1" ht="20.25" customHeight="1">
      <c r="A1080" s="600" t="s">
        <v>781</v>
      </c>
      <c r="B1080" s="600"/>
      <c r="C1080" s="600"/>
      <c r="D1080" s="600"/>
      <c r="E1080" s="600"/>
      <c r="F1080" s="600"/>
      <c r="G1080" s="600"/>
      <c r="H1080" s="600"/>
      <c r="I1080" s="600"/>
    </row>
    <row r="1081" spans="1:9" s="135" customFormat="1" ht="20.25" customHeight="1">
      <c r="A1081" s="600" t="s">
        <v>619</v>
      </c>
      <c r="B1081" s="600"/>
      <c r="C1081" s="600"/>
      <c r="D1081" s="600"/>
      <c r="E1081" s="600"/>
      <c r="F1081" s="600"/>
      <c r="G1081" s="600"/>
      <c r="H1081" s="600"/>
      <c r="I1081" s="600"/>
    </row>
    <row r="1082" spans="1:9" s="135" customFormat="1" ht="20.25" customHeight="1">
      <c r="A1082" s="503" t="s">
        <v>778</v>
      </c>
      <c r="B1082" s="503"/>
      <c r="C1082" s="503"/>
      <c r="D1082" s="503"/>
      <c r="E1082" s="503"/>
      <c r="F1082" s="503"/>
      <c r="G1082" s="503"/>
      <c r="H1082" s="503"/>
      <c r="I1082" s="503"/>
    </row>
    <row r="1083" spans="1:9" s="135" customFormat="1" ht="20.25" customHeight="1">
      <c r="A1083" s="486" t="s">
        <v>779</v>
      </c>
      <c r="B1083" s="486"/>
      <c r="C1083" s="486"/>
      <c r="D1083" s="486"/>
      <c r="E1083" s="486"/>
      <c r="F1083" s="486"/>
      <c r="G1083" s="486"/>
      <c r="H1083" s="486"/>
      <c r="I1083" s="486"/>
    </row>
    <row r="1084" spans="1:9" s="135" customFormat="1" ht="20.25" customHeight="1">
      <c r="A1084" s="486" t="s">
        <v>782</v>
      </c>
      <c r="B1084" s="486"/>
      <c r="C1084" s="486"/>
      <c r="D1084" s="486"/>
      <c r="E1084" s="486"/>
      <c r="F1084" s="486"/>
      <c r="G1084" s="486"/>
      <c r="H1084" s="486"/>
      <c r="I1084" s="486"/>
    </row>
    <row r="1085" spans="1:9" s="135" customFormat="1" ht="20.25" customHeight="1">
      <c r="A1085" s="486" t="s">
        <v>783</v>
      </c>
      <c r="B1085" s="486"/>
      <c r="C1085" s="486"/>
      <c r="D1085" s="486"/>
      <c r="E1085" s="486"/>
      <c r="F1085" s="486"/>
      <c r="G1085" s="486"/>
      <c r="H1085" s="486"/>
      <c r="I1085" s="486"/>
    </row>
    <row r="1086" spans="1:9" s="135" customFormat="1" ht="20.25" customHeight="1">
      <c r="A1086" s="486" t="s">
        <v>784</v>
      </c>
      <c r="B1086" s="486"/>
      <c r="C1086" s="486"/>
      <c r="D1086" s="486"/>
      <c r="E1086" s="486"/>
      <c r="F1086" s="486"/>
      <c r="G1086" s="486"/>
      <c r="H1086" s="486"/>
      <c r="I1086" s="486"/>
    </row>
    <row r="1087" spans="1:9" s="135" customFormat="1" ht="20.25" customHeight="1">
      <c r="A1087" s="486" t="s">
        <v>785</v>
      </c>
      <c r="B1087" s="486"/>
      <c r="C1087" s="486"/>
      <c r="D1087" s="486"/>
      <c r="E1087" s="486"/>
      <c r="F1087" s="486"/>
      <c r="G1087" s="486"/>
      <c r="H1087" s="486"/>
      <c r="I1087" s="486"/>
    </row>
    <row r="1088" spans="1:9" s="135" customFormat="1" ht="20.25" customHeight="1">
      <c r="A1088" s="486" t="s">
        <v>620</v>
      </c>
      <c r="B1088" s="486"/>
      <c r="C1088" s="486"/>
      <c r="D1088" s="486"/>
      <c r="E1088" s="486"/>
      <c r="F1088" s="486"/>
      <c r="G1088" s="486"/>
      <c r="H1088" s="486"/>
      <c r="I1088" s="486"/>
    </row>
    <row r="1089" spans="1:9" s="135" customFormat="1" ht="20.25" customHeight="1">
      <c r="A1089" s="486" t="s">
        <v>786</v>
      </c>
      <c r="B1089" s="486"/>
      <c r="C1089" s="486"/>
      <c r="D1089" s="486"/>
      <c r="E1089" s="486"/>
      <c r="F1089" s="486"/>
      <c r="G1089" s="486"/>
      <c r="H1089" s="486"/>
      <c r="I1089" s="486"/>
    </row>
    <row r="1090" spans="1:9" s="135" customFormat="1" ht="20.25" customHeight="1">
      <c r="A1090" s="486" t="s">
        <v>787</v>
      </c>
      <c r="B1090" s="486"/>
      <c r="C1090" s="486"/>
      <c r="D1090" s="486"/>
      <c r="E1090" s="486"/>
      <c r="F1090" s="486"/>
      <c r="G1090" s="486"/>
      <c r="H1090" s="486"/>
      <c r="I1090" s="486"/>
    </row>
    <row r="1091" spans="1:9" s="135" customFormat="1" ht="20.25" customHeight="1">
      <c r="A1091" s="486" t="s">
        <v>788</v>
      </c>
      <c r="B1091" s="486"/>
      <c r="C1091" s="486"/>
      <c r="D1091" s="486"/>
      <c r="E1091" s="486"/>
      <c r="F1091" s="486"/>
      <c r="G1091" s="486"/>
      <c r="H1091" s="486"/>
      <c r="I1091" s="486"/>
    </row>
    <row r="1092" spans="1:9" s="135" customFormat="1" ht="20.25" customHeight="1">
      <c r="A1092" s="486" t="s">
        <v>621</v>
      </c>
      <c r="B1092" s="486"/>
      <c r="C1092" s="486"/>
      <c r="D1092" s="486"/>
      <c r="E1092" s="486"/>
      <c r="F1092" s="486"/>
      <c r="G1092" s="486"/>
      <c r="H1092" s="486"/>
      <c r="I1092" s="486"/>
    </row>
    <row r="1093" spans="1:9" s="135" customFormat="1" ht="20.25" customHeight="1">
      <c r="A1093" s="486"/>
      <c r="B1093" s="486"/>
      <c r="C1093" s="486"/>
      <c r="D1093" s="486"/>
      <c r="E1093" s="486"/>
      <c r="F1093" s="486"/>
      <c r="G1093" s="486"/>
      <c r="H1093" s="486"/>
      <c r="I1093" s="486"/>
    </row>
    <row r="1094" spans="1:9" s="135" customFormat="1" ht="20.25" customHeight="1">
      <c r="A1094" s="273"/>
      <c r="B1094" s="273"/>
      <c r="C1094" s="273"/>
      <c r="D1094" s="273"/>
      <c r="E1094" s="273"/>
      <c r="F1094" s="273"/>
      <c r="G1094" s="273"/>
      <c r="H1094" s="273"/>
      <c r="I1094" s="273"/>
    </row>
    <row r="1095" spans="1:9" s="135" customFormat="1" ht="20.25" customHeight="1">
      <c r="A1095" s="273"/>
      <c r="B1095" s="273"/>
      <c r="C1095" s="273"/>
      <c r="D1095" s="273"/>
      <c r="E1095" s="273"/>
      <c r="F1095" s="273"/>
      <c r="G1095" s="273"/>
      <c r="H1095" s="273"/>
      <c r="I1095" s="273"/>
    </row>
    <row r="1096" spans="1:8" s="135" customFormat="1" ht="29.25" customHeight="1">
      <c r="A1096" s="273"/>
      <c r="B1096" s="605" t="s">
        <v>134</v>
      </c>
      <c r="C1096" s="605"/>
      <c r="D1096" s="605"/>
      <c r="E1096" s="273"/>
      <c r="F1096" s="273"/>
      <c r="G1096" s="273"/>
      <c r="H1096" s="273"/>
    </row>
    <row r="1097" spans="1:9" s="135" customFormat="1" ht="20.25" customHeight="1">
      <c r="A1097" s="273"/>
      <c r="B1097" s="273"/>
      <c r="C1097" s="273"/>
      <c r="D1097" s="273"/>
      <c r="E1097" s="273"/>
      <c r="F1097" s="273"/>
      <c r="G1097" s="273"/>
      <c r="H1097" s="273"/>
      <c r="I1097" s="273"/>
    </row>
    <row r="1098" spans="1:9" s="135" customFormat="1" ht="20.25" customHeight="1">
      <c r="A1098" s="273"/>
      <c r="B1098" s="273"/>
      <c r="C1098" s="273"/>
      <c r="D1098" s="273"/>
      <c r="E1098" s="273"/>
      <c r="F1098" s="273"/>
      <c r="G1098" s="273"/>
      <c r="H1098" s="273"/>
      <c r="I1098" s="273"/>
    </row>
    <row r="1099" spans="1:9" s="135" customFormat="1" ht="20.25" customHeight="1">
      <c r="A1099" s="273"/>
      <c r="B1099" s="273"/>
      <c r="C1099" s="273"/>
      <c r="D1099" s="273"/>
      <c r="E1099" s="273"/>
      <c r="F1099" s="273"/>
      <c r="G1099" s="273"/>
      <c r="H1099" s="273"/>
      <c r="I1099" s="273"/>
    </row>
    <row r="1100" spans="1:9" s="135" customFormat="1" ht="20.25" customHeight="1">
      <c r="A1100" s="273"/>
      <c r="B1100" s="273"/>
      <c r="C1100" s="273"/>
      <c r="D1100" s="273"/>
      <c r="E1100" s="273"/>
      <c r="F1100" s="273"/>
      <c r="G1100" s="273"/>
      <c r="H1100" s="273"/>
      <c r="I1100" s="273"/>
    </row>
    <row r="1101" spans="1:9" s="135" customFormat="1" ht="27" customHeight="1">
      <c r="A1101" s="273"/>
      <c r="E1101" s="273"/>
      <c r="F1101" s="273"/>
      <c r="G1101" s="273"/>
      <c r="H1101" s="273"/>
      <c r="I1101" s="273"/>
    </row>
    <row r="1102" spans="1:9" s="135" customFormat="1" ht="20.25" customHeight="1">
      <c r="A1102" s="273"/>
      <c r="B1102" s="273"/>
      <c r="C1102" s="273"/>
      <c r="D1102" s="273"/>
      <c r="E1102" s="273"/>
      <c r="F1102" s="273"/>
      <c r="G1102" s="273"/>
      <c r="H1102" s="273"/>
      <c r="I1102" s="273"/>
    </row>
    <row r="1103" spans="1:9" s="135" customFormat="1" ht="20.25" customHeight="1">
      <c r="A1103" s="273"/>
      <c r="B1103" s="273"/>
      <c r="C1103" s="273"/>
      <c r="D1103" s="273"/>
      <c r="E1103" s="273"/>
      <c r="F1103" s="273"/>
      <c r="G1103" s="273"/>
      <c r="H1103" s="273"/>
      <c r="I1103" s="273"/>
    </row>
    <row r="1104" spans="1:9" s="135" customFormat="1" ht="20.25" customHeight="1">
      <c r="A1104" s="273"/>
      <c r="B1104" s="273"/>
      <c r="C1104" s="273"/>
      <c r="D1104" s="273"/>
      <c r="E1104" s="273"/>
      <c r="F1104" s="273"/>
      <c r="G1104" s="273"/>
      <c r="H1104" s="273"/>
      <c r="I1104" s="273"/>
    </row>
    <row r="1105" spans="1:9" s="135" customFormat="1" ht="27" customHeight="1">
      <c r="A1105" s="273"/>
      <c r="B1105" s="605" t="s">
        <v>993</v>
      </c>
      <c r="C1105" s="605"/>
      <c r="D1105" s="605"/>
      <c r="E1105" s="605"/>
      <c r="F1105" s="273"/>
      <c r="G1105" s="273"/>
      <c r="H1105" s="273"/>
      <c r="I1105" s="273"/>
    </row>
    <row r="1106" spans="1:9" s="135" customFormat="1" ht="20.25" customHeight="1">
      <c r="A1106" s="273"/>
      <c r="B1106" s="273"/>
      <c r="C1106" s="273"/>
      <c r="D1106" s="273"/>
      <c r="E1106" s="273"/>
      <c r="F1106" s="273"/>
      <c r="G1106" s="273"/>
      <c r="H1106" s="273"/>
      <c r="I1106" s="273"/>
    </row>
    <row r="1107" spans="1:9" s="135" customFormat="1" ht="20.25" customHeight="1">
      <c r="A1107" s="273"/>
      <c r="B1107" s="273"/>
      <c r="C1107" s="273"/>
      <c r="D1107" s="273"/>
      <c r="E1107" s="273"/>
      <c r="F1107" s="273"/>
      <c r="G1107" s="273"/>
      <c r="H1107" s="273"/>
      <c r="I1107" s="273"/>
    </row>
    <row r="1108" spans="1:9" s="135" customFormat="1" ht="20.25" customHeight="1">
      <c r="A1108" s="273"/>
      <c r="F1108" s="273"/>
      <c r="G1108" s="273"/>
      <c r="H1108" s="273"/>
      <c r="I1108" s="273"/>
    </row>
    <row r="1109" spans="1:9" s="135" customFormat="1" ht="20.25" customHeight="1">
      <c r="A1109" s="273"/>
      <c r="B1109" s="273"/>
      <c r="C1109" s="273"/>
      <c r="D1109" s="273"/>
      <c r="E1109" s="273"/>
      <c r="F1109" s="273"/>
      <c r="G1109" s="273"/>
      <c r="H1109" s="273"/>
      <c r="I1109" s="273"/>
    </row>
    <row r="1110" spans="1:9" s="135" customFormat="1" ht="27" customHeight="1">
      <c r="A1110" s="273"/>
      <c r="F1110" s="273"/>
      <c r="G1110" s="273"/>
      <c r="H1110" s="273"/>
      <c r="I1110" s="273"/>
    </row>
    <row r="1111" spans="1:9" s="135" customFormat="1" ht="18.75" customHeight="1">
      <c r="A1111" s="273"/>
      <c r="B1111" s="297"/>
      <c r="C1111" s="297"/>
      <c r="D1111" s="297"/>
      <c r="E1111" s="297"/>
      <c r="F1111" s="273"/>
      <c r="G1111" s="273"/>
      <c r="H1111" s="273"/>
      <c r="I1111" s="273"/>
    </row>
    <row r="1112" spans="1:9" s="135" customFormat="1" ht="18.75" customHeight="1">
      <c r="A1112" s="273"/>
      <c r="B1112" s="297"/>
      <c r="C1112" s="297"/>
      <c r="D1112" s="297"/>
      <c r="E1112" s="297"/>
      <c r="F1112" s="273"/>
      <c r="G1112" s="273"/>
      <c r="H1112" s="273"/>
      <c r="I1112" s="273"/>
    </row>
    <row r="1113" spans="1:9" s="135" customFormat="1" ht="18.75" customHeight="1">
      <c r="A1113" s="273"/>
      <c r="B1113" s="297"/>
      <c r="C1113" s="297"/>
      <c r="D1113" s="297"/>
      <c r="E1113" s="297"/>
      <c r="F1113" s="273"/>
      <c r="G1113" s="273"/>
      <c r="H1113" s="273"/>
      <c r="I1113" s="273"/>
    </row>
    <row r="1114" spans="1:9" s="135" customFormat="1" ht="18.75" customHeight="1">
      <c r="A1114" s="273"/>
      <c r="B1114" s="297"/>
      <c r="C1114" s="297"/>
      <c r="D1114" s="297"/>
      <c r="E1114" s="297"/>
      <c r="F1114" s="273"/>
      <c r="G1114" s="273"/>
      <c r="H1114" s="273"/>
      <c r="I1114" s="273"/>
    </row>
    <row r="1115" spans="1:9" s="135" customFormat="1" ht="18.75" customHeight="1">
      <c r="A1115" s="273"/>
      <c r="B1115" s="297"/>
      <c r="C1115" s="297"/>
      <c r="D1115" s="297"/>
      <c r="E1115" s="297"/>
      <c r="F1115" s="273"/>
      <c r="G1115" s="273"/>
      <c r="H1115" s="273"/>
      <c r="I1115" s="273"/>
    </row>
    <row r="1116" spans="1:8" s="135" customFormat="1" ht="21.75" customHeight="1">
      <c r="A1116" s="273"/>
      <c r="B1116" s="297"/>
      <c r="C1116" s="297"/>
      <c r="D1116" s="297"/>
      <c r="E1116" s="297"/>
      <c r="F1116" s="273"/>
      <c r="G1116" s="273"/>
      <c r="H1116" s="273"/>
    </row>
    <row r="1117" spans="1:8" s="135" customFormat="1" ht="18.75" customHeight="1">
      <c r="A1117" s="273"/>
      <c r="B1117" s="297"/>
      <c r="C1117" s="297"/>
      <c r="D1117" s="297"/>
      <c r="E1117" s="297"/>
      <c r="F1117" s="273"/>
      <c r="G1117" s="273"/>
      <c r="H1117" s="273"/>
    </row>
    <row r="1118" spans="1:9" s="135" customFormat="1" ht="18.75" customHeight="1">
      <c r="A1118" s="273"/>
      <c r="B1118" s="297"/>
      <c r="C1118" s="297"/>
      <c r="D1118" s="297"/>
      <c r="E1118" s="297"/>
      <c r="F1118" s="273"/>
      <c r="G1118" s="273"/>
      <c r="H1118" s="273"/>
      <c r="I1118" s="441">
        <v>16</v>
      </c>
    </row>
    <row r="1119" spans="1:9" s="135" customFormat="1" ht="18.75" customHeight="1">
      <c r="A1119" s="273"/>
      <c r="B1119" s="297"/>
      <c r="C1119" s="297"/>
      <c r="D1119" s="297"/>
      <c r="E1119" s="297"/>
      <c r="F1119" s="273"/>
      <c r="G1119" s="273"/>
      <c r="H1119" s="273"/>
      <c r="I1119" s="441"/>
    </row>
    <row r="1120" spans="1:9" s="135" customFormat="1" ht="18.75" customHeight="1">
      <c r="A1120" s="273"/>
      <c r="B1120" s="297"/>
      <c r="C1120" s="297"/>
      <c r="D1120" s="297"/>
      <c r="E1120" s="297"/>
      <c r="F1120" s="273"/>
      <c r="G1120" s="273"/>
      <c r="H1120" s="273"/>
      <c r="I1120" s="273"/>
    </row>
    <row r="1121" spans="1:9" s="135" customFormat="1" ht="30" customHeight="1">
      <c r="A1121" s="608" t="s">
        <v>789</v>
      </c>
      <c r="B1121" s="608"/>
      <c r="C1121" s="608"/>
      <c r="D1121" s="608"/>
      <c r="E1121" s="608"/>
      <c r="I1121" s="272"/>
    </row>
    <row r="1122" s="135" customFormat="1" ht="20.25" customHeight="1">
      <c r="I1122" s="272"/>
    </row>
    <row r="1123" s="135" customFormat="1" ht="20.25" customHeight="1">
      <c r="I1123" s="272"/>
    </row>
    <row r="1124" spans="2:9" s="135" customFormat="1" ht="20.25" customHeight="1">
      <c r="B1124" s="518" t="s">
        <v>792</v>
      </c>
      <c r="C1124" s="518"/>
      <c r="D1124" s="518"/>
      <c r="E1124" s="518"/>
      <c r="F1124" s="518"/>
      <c r="G1124" s="518"/>
      <c r="H1124" s="518"/>
      <c r="I1124" s="518"/>
    </row>
    <row r="1125" spans="1:9" s="135" customFormat="1" ht="20.25" customHeight="1">
      <c r="A1125" s="518" t="s">
        <v>791</v>
      </c>
      <c r="B1125" s="518"/>
      <c r="C1125" s="518"/>
      <c r="D1125" s="518"/>
      <c r="E1125" s="518"/>
      <c r="F1125" s="518"/>
      <c r="G1125" s="518"/>
      <c r="H1125" s="518"/>
      <c r="I1125" s="518"/>
    </row>
    <row r="1126" spans="1:9" s="135" customFormat="1" ht="20.25" customHeight="1">
      <c r="A1126" s="518" t="s">
        <v>793</v>
      </c>
      <c r="B1126" s="518"/>
      <c r="C1126" s="518"/>
      <c r="D1126" s="518"/>
      <c r="E1126" s="518"/>
      <c r="F1126" s="518"/>
      <c r="G1126" s="518"/>
      <c r="H1126" s="518"/>
      <c r="I1126" s="518"/>
    </row>
    <row r="1127" spans="1:9" s="135" customFormat="1" ht="20.25" customHeight="1">
      <c r="A1127" s="518" t="s">
        <v>794</v>
      </c>
      <c r="B1127" s="518"/>
      <c r="C1127" s="518"/>
      <c r="D1127" s="518"/>
      <c r="E1127" s="518"/>
      <c r="F1127" s="518"/>
      <c r="G1127" s="518"/>
      <c r="H1127" s="518"/>
      <c r="I1127" s="518"/>
    </row>
    <row r="1128" spans="1:9" s="135" customFormat="1" ht="20.25" customHeight="1">
      <c r="A1128" s="280"/>
      <c r="B1128" s="518" t="s">
        <v>1073</v>
      </c>
      <c r="C1128" s="518"/>
      <c r="D1128" s="518"/>
      <c r="E1128" s="518"/>
      <c r="F1128" s="518"/>
      <c r="G1128" s="518"/>
      <c r="H1128" s="518"/>
      <c r="I1128" s="518"/>
    </row>
    <row r="1129" spans="1:9" s="135" customFormat="1" ht="11.25" customHeight="1">
      <c r="A1129" s="280"/>
      <c r="B1129" s="280"/>
      <c r="C1129" s="280"/>
      <c r="D1129" s="280"/>
      <c r="E1129" s="280"/>
      <c r="F1129" s="280"/>
      <c r="G1129" s="280"/>
      <c r="H1129" s="280"/>
      <c r="I1129" s="280"/>
    </row>
    <row r="1130" spans="1:8" s="135" customFormat="1" ht="27.75" customHeight="1">
      <c r="A1130" s="40"/>
      <c r="B1130" s="39"/>
      <c r="C1130"/>
      <c r="D1130" s="487" t="s">
        <v>682</v>
      </c>
      <c r="E1130" s="487"/>
      <c r="F1130" s="487"/>
      <c r="H1130" s="40"/>
    </row>
    <row r="1131" spans="1:9" s="135" customFormat="1" ht="20.25" customHeight="1">
      <c r="A1131" s="612" t="s">
        <v>683</v>
      </c>
      <c r="B1131" s="491" t="s">
        <v>688</v>
      </c>
      <c r="C1131" s="492"/>
      <c r="D1131" s="5" t="s">
        <v>686</v>
      </c>
      <c r="E1131" s="5" t="s">
        <v>712</v>
      </c>
      <c r="F1131" s="5" t="s">
        <v>686</v>
      </c>
      <c r="G1131" s="510" t="s">
        <v>713</v>
      </c>
      <c r="H1131" s="511"/>
      <c r="I1131" s="6" t="s">
        <v>714</v>
      </c>
    </row>
    <row r="1132" spans="1:9" s="135" customFormat="1" ht="20.25" customHeight="1">
      <c r="A1132" s="613"/>
      <c r="B1132" s="493"/>
      <c r="C1132" s="494"/>
      <c r="D1132" s="7" t="s">
        <v>656</v>
      </c>
      <c r="E1132" s="7" t="s">
        <v>715</v>
      </c>
      <c r="F1132" s="7" t="s">
        <v>657</v>
      </c>
      <c r="G1132" s="8" t="s">
        <v>706</v>
      </c>
      <c r="H1132" s="9" t="s">
        <v>707</v>
      </c>
      <c r="I1132" s="10" t="s">
        <v>717</v>
      </c>
    </row>
    <row r="1133" spans="1:9" s="135" customFormat="1" ht="20.25" customHeight="1">
      <c r="A1133" s="305">
        <v>1</v>
      </c>
      <c r="B1133" s="501">
        <v>2</v>
      </c>
      <c r="C1133" s="502"/>
      <c r="D1133" s="11">
        <v>3</v>
      </c>
      <c r="E1133" s="47">
        <v>4</v>
      </c>
      <c r="F1133" s="11">
        <v>5</v>
      </c>
      <c r="G1133" s="47">
        <v>6</v>
      </c>
      <c r="H1133" s="47">
        <v>7</v>
      </c>
      <c r="I1133" s="28">
        <v>8</v>
      </c>
    </row>
    <row r="1134" spans="1:9" s="135" customFormat="1" ht="20.25" customHeight="1">
      <c r="A1134" s="5">
        <v>50013</v>
      </c>
      <c r="B1134" s="507" t="s">
        <v>1074</v>
      </c>
      <c r="C1134" s="508"/>
      <c r="D1134" s="40"/>
      <c r="E1134" s="412"/>
      <c r="F1134" s="413">
        <v>25407</v>
      </c>
      <c r="G1134" s="414" t="e">
        <f aca="true" t="shared" si="59" ref="G1134:G1142">F1134/D1134</f>
        <v>#DIV/0!</v>
      </c>
      <c r="H1134" s="415" t="e">
        <f aca="true" t="shared" si="60" ref="H1134:H1142">F1134/E1134</f>
        <v>#DIV/0!</v>
      </c>
      <c r="I1134" s="416">
        <f>F1134/F1139</f>
        <v>0.4033081202923972</v>
      </c>
    </row>
    <row r="1135" spans="1:9" s="135" customFormat="1" ht="20.25" customHeight="1">
      <c r="A1135" s="314">
        <v>50014</v>
      </c>
      <c r="B1135" s="654" t="s">
        <v>1075</v>
      </c>
      <c r="C1135" s="655"/>
      <c r="D1135" s="316"/>
      <c r="E1135" s="417"/>
      <c r="F1135" s="413">
        <v>5047</v>
      </c>
      <c r="G1135" s="418" t="e">
        <f t="shared" si="59"/>
        <v>#DIV/0!</v>
      </c>
      <c r="H1135" s="416" t="e">
        <f t="shared" si="60"/>
        <v>#DIV/0!</v>
      </c>
      <c r="I1135" s="416">
        <f>F1135/F1139</f>
        <v>0.08011556197566531</v>
      </c>
    </row>
    <row r="1136" spans="1:9" s="135" customFormat="1" ht="20.25" customHeight="1">
      <c r="A1136" s="314">
        <v>50015</v>
      </c>
      <c r="B1136" s="654" t="s">
        <v>1076</v>
      </c>
      <c r="C1136" s="655"/>
      <c r="D1136" s="316"/>
      <c r="E1136" s="417"/>
      <c r="F1136" s="413">
        <v>1581</v>
      </c>
      <c r="G1136" s="418" t="e">
        <f t="shared" si="59"/>
        <v>#DIV/0!</v>
      </c>
      <c r="H1136" s="416" t="e">
        <f t="shared" si="60"/>
        <v>#DIV/0!</v>
      </c>
      <c r="I1136" s="416">
        <f>F1136/F1139</f>
        <v>0.025096632352591016</v>
      </c>
    </row>
    <row r="1137" spans="1:9" s="135" customFormat="1" ht="20.25" customHeight="1">
      <c r="A1137" s="314">
        <v>50016</v>
      </c>
      <c r="B1137" s="654" t="s">
        <v>1078</v>
      </c>
      <c r="C1137" s="655"/>
      <c r="D1137" s="316"/>
      <c r="E1137" s="417"/>
      <c r="F1137" s="413">
        <v>30961.5</v>
      </c>
      <c r="G1137" s="418" t="e">
        <f t="shared" si="59"/>
        <v>#DIV/0!</v>
      </c>
      <c r="H1137" s="416" t="e">
        <f t="shared" si="60"/>
        <v>#DIV/0!</v>
      </c>
      <c r="I1137" s="416">
        <f>F1137/F1139</f>
        <v>0.4914796853793465</v>
      </c>
    </row>
    <row r="1138" spans="1:9" s="135" customFormat="1" ht="20.25" customHeight="1">
      <c r="A1138" s="314">
        <v>50017</v>
      </c>
      <c r="B1138" s="654" t="s">
        <v>899</v>
      </c>
      <c r="C1138" s="655"/>
      <c r="D1138" s="316"/>
      <c r="E1138" s="417"/>
      <c r="F1138" s="413">
        <v>0</v>
      </c>
      <c r="G1138" s="418" t="e">
        <f t="shared" si="59"/>
        <v>#DIV/0!</v>
      </c>
      <c r="H1138" s="416" t="e">
        <f t="shared" si="60"/>
        <v>#DIV/0!</v>
      </c>
      <c r="I1138" s="416">
        <f>F1138/F1139</f>
        <v>0</v>
      </c>
    </row>
    <row r="1139" spans="1:9" s="135" customFormat="1" ht="28.5" customHeight="1">
      <c r="A1139" s="315"/>
      <c r="B1139" s="625" t="s">
        <v>690</v>
      </c>
      <c r="C1139" s="626"/>
      <c r="D1139" s="317">
        <v>72269.5</v>
      </c>
      <c r="E1139" s="419">
        <v>185000</v>
      </c>
      <c r="F1139" s="420">
        <f>F1134+F1135+F1136+F1137+F1138</f>
        <v>62996.5</v>
      </c>
      <c r="G1139" s="421">
        <f t="shared" si="59"/>
        <v>0.8716886099945343</v>
      </c>
      <c r="H1139" s="422">
        <f t="shared" si="60"/>
        <v>0.34052162162162164</v>
      </c>
      <c r="I1139" s="422">
        <f>F1139/F1143</f>
        <v>0.9648056114986714</v>
      </c>
    </row>
    <row r="1140" spans="1:9" s="135" customFormat="1" ht="20.25" customHeight="1">
      <c r="A1140" s="446">
        <v>50018</v>
      </c>
      <c r="B1140" s="600" t="s">
        <v>918</v>
      </c>
      <c r="C1140" s="600"/>
      <c r="D1140" s="447">
        <v>3353</v>
      </c>
      <c r="E1140" s="447">
        <v>9000</v>
      </c>
      <c r="F1140" s="447">
        <v>2298</v>
      </c>
      <c r="G1140" s="418">
        <f t="shared" si="59"/>
        <v>0.6853563972561885</v>
      </c>
      <c r="H1140" s="407">
        <f t="shared" si="60"/>
        <v>0.25533333333333336</v>
      </c>
      <c r="I1140" s="407">
        <f>F1140/F1143</f>
        <v>0.0351943885013286</v>
      </c>
    </row>
    <row r="1141" spans="1:9" s="135" customFormat="1" ht="20.25" customHeight="1">
      <c r="A1141" s="11" t="s">
        <v>477</v>
      </c>
      <c r="B1141" s="629" t="s">
        <v>95</v>
      </c>
      <c r="C1141" s="630"/>
      <c r="D1141" s="30">
        <f>D1139+D1140</f>
        <v>75622.5</v>
      </c>
      <c r="E1141" s="30">
        <f>E1139+E1140</f>
        <v>194000</v>
      </c>
      <c r="F1141" s="30">
        <f>F1139+F1140</f>
        <v>65294.5</v>
      </c>
      <c r="G1141" s="109">
        <f>F1141/D1141</f>
        <v>0.8634268901451287</v>
      </c>
      <c r="H1141" s="448">
        <f t="shared" si="60"/>
        <v>0.33656958762886596</v>
      </c>
      <c r="I1141" s="31">
        <f>F1141/F1143</f>
        <v>1</v>
      </c>
    </row>
    <row r="1142" spans="1:9" s="135" customFormat="1" ht="20.25" customHeight="1">
      <c r="A1142" s="4" t="s">
        <v>478</v>
      </c>
      <c r="B1142" s="504" t="s">
        <v>921</v>
      </c>
      <c r="C1142" s="505"/>
      <c r="D1142" s="25">
        <v>7320</v>
      </c>
      <c r="E1142" s="25">
        <v>0</v>
      </c>
      <c r="F1142" s="25">
        <v>0</v>
      </c>
      <c r="G1142" s="15">
        <f t="shared" si="59"/>
        <v>0</v>
      </c>
      <c r="H1142" s="16" t="e">
        <f t="shared" si="60"/>
        <v>#DIV/0!</v>
      </c>
      <c r="I1142" s="16">
        <f>F1142/F1143</f>
        <v>0</v>
      </c>
    </row>
    <row r="1143" spans="1:9" s="135" customFormat="1" ht="30" customHeight="1">
      <c r="A1143" s="449"/>
      <c r="B1143" s="627" t="s">
        <v>135</v>
      </c>
      <c r="C1143" s="628"/>
      <c r="D1143" s="450">
        <f aca="true" t="shared" si="61" ref="D1143:I1143">D1141+D1142</f>
        <v>82942.5</v>
      </c>
      <c r="E1143" s="450">
        <f t="shared" si="61"/>
        <v>194000</v>
      </c>
      <c r="F1143" s="450">
        <f t="shared" si="61"/>
        <v>65294.5</v>
      </c>
      <c r="G1143" s="459">
        <f>F1143/D1143</f>
        <v>0.7872260903638062</v>
      </c>
      <c r="H1143" s="460">
        <f>F1143/E1143</f>
        <v>0.33656958762886596</v>
      </c>
      <c r="I1143" s="451">
        <f t="shared" si="61"/>
        <v>1</v>
      </c>
    </row>
    <row r="1144" spans="1:9" s="135" customFormat="1" ht="20.25" customHeight="1">
      <c r="A1144" s="282"/>
      <c r="B1144" s="283"/>
      <c r="C1144" s="283"/>
      <c r="D1144" s="284"/>
      <c r="E1144" s="285"/>
      <c r="F1144" s="285"/>
      <c r="G1144" s="286"/>
      <c r="H1144" s="287"/>
      <c r="I1144" s="287"/>
    </row>
    <row r="1145" spans="1:9" s="135" customFormat="1" ht="20.25" customHeight="1">
      <c r="A1145" s="599" t="s">
        <v>795</v>
      </c>
      <c r="B1145" s="599"/>
      <c r="C1145" s="599"/>
      <c r="D1145" s="599"/>
      <c r="E1145" s="599"/>
      <c r="F1145" s="599"/>
      <c r="G1145" s="599"/>
      <c r="H1145" s="599"/>
      <c r="I1145" s="599"/>
    </row>
    <row r="1146" spans="1:9" s="135" customFormat="1" ht="20.25" customHeight="1">
      <c r="A1146" s="599" t="s">
        <v>796</v>
      </c>
      <c r="B1146" s="599"/>
      <c r="C1146" s="599"/>
      <c r="D1146" s="599"/>
      <c r="E1146" s="599"/>
      <c r="F1146" s="599"/>
      <c r="G1146" s="599"/>
      <c r="H1146" s="599"/>
      <c r="I1146" s="599"/>
    </row>
    <row r="1147" spans="1:9" s="135" customFormat="1" ht="20.25" customHeight="1">
      <c r="A1147" s="599" t="s">
        <v>797</v>
      </c>
      <c r="B1147" s="599"/>
      <c r="C1147" s="599"/>
      <c r="D1147" s="599"/>
      <c r="E1147" s="599"/>
      <c r="F1147" s="599"/>
      <c r="G1147" s="599"/>
      <c r="H1147" s="599"/>
      <c r="I1147" s="599"/>
    </row>
    <row r="1148" spans="1:9" s="135" customFormat="1" ht="20.25" customHeight="1">
      <c r="A1148" s="599" t="s">
        <v>798</v>
      </c>
      <c r="B1148" s="599"/>
      <c r="C1148" s="599"/>
      <c r="D1148" s="599"/>
      <c r="E1148" s="599"/>
      <c r="F1148" s="599"/>
      <c r="G1148" s="599"/>
      <c r="H1148" s="599"/>
      <c r="I1148" s="599"/>
    </row>
    <row r="1149" spans="1:9" s="135" customFormat="1" ht="20.25" customHeight="1">
      <c r="A1149" s="292"/>
      <c r="B1149" s="292"/>
      <c r="C1149" s="292"/>
      <c r="D1149" s="292"/>
      <c r="E1149" s="292"/>
      <c r="F1149" s="292"/>
      <c r="G1149" s="292"/>
      <c r="H1149" s="292"/>
      <c r="I1149" s="292"/>
    </row>
    <row r="1150" spans="1:9" s="135" customFormat="1" ht="20.25" customHeight="1">
      <c r="A1150" s="292"/>
      <c r="B1150" s="292"/>
      <c r="C1150" s="292"/>
      <c r="D1150" s="298" t="s">
        <v>682</v>
      </c>
      <c r="E1150" s="292"/>
      <c r="F1150" s="292"/>
      <c r="G1150" s="292"/>
      <c r="H1150" s="292"/>
      <c r="I1150" s="292"/>
    </row>
    <row r="1151" spans="1:9" s="135" customFormat="1" ht="20.25" customHeight="1">
      <c r="A1151" s="292"/>
      <c r="B1151" s="292"/>
      <c r="C1151" s="292"/>
      <c r="D1151" s="292"/>
      <c r="E1151" s="292"/>
      <c r="F1151" s="292"/>
      <c r="G1151" s="292"/>
      <c r="H1151" s="292"/>
      <c r="I1151" s="292"/>
    </row>
    <row r="1152" spans="1:9" s="135" customFormat="1" ht="20.25" customHeight="1">
      <c r="A1152" s="299"/>
      <c r="B1152" s="600" t="s">
        <v>1074</v>
      </c>
      <c r="C1152" s="600"/>
      <c r="D1152" s="653" t="s">
        <v>878</v>
      </c>
      <c r="E1152" s="653"/>
      <c r="F1152" s="653"/>
      <c r="G1152" s="299"/>
      <c r="H1152" s="299"/>
      <c r="I1152" s="299"/>
    </row>
    <row r="1153" spans="1:9" s="135" customFormat="1" ht="20.25" customHeight="1">
      <c r="A1153" s="292"/>
      <c r="B1153" s="600" t="s">
        <v>1075</v>
      </c>
      <c r="C1153" s="600"/>
      <c r="D1153" s="653" t="s">
        <v>799</v>
      </c>
      <c r="E1153" s="653"/>
      <c r="F1153" s="653"/>
      <c r="G1153" s="292"/>
      <c r="H1153" s="292"/>
      <c r="I1153" s="292"/>
    </row>
    <row r="1154" spans="1:9" s="135" customFormat="1" ht="20.25" customHeight="1">
      <c r="A1154" s="292"/>
      <c r="B1154" s="600" t="s">
        <v>1076</v>
      </c>
      <c r="C1154" s="600"/>
      <c r="D1154" s="653" t="s">
        <v>800</v>
      </c>
      <c r="E1154" s="653"/>
      <c r="F1154" s="653"/>
      <c r="G1154" s="292"/>
      <c r="H1154" s="292"/>
      <c r="I1154" s="292"/>
    </row>
    <row r="1155" spans="1:9" s="135" customFormat="1" ht="20.25" customHeight="1">
      <c r="A1155" s="292"/>
      <c r="B1155" s="600" t="s">
        <v>1078</v>
      </c>
      <c r="C1155" s="600"/>
      <c r="D1155" s="601" t="s">
        <v>801</v>
      </c>
      <c r="E1155" s="601"/>
      <c r="F1155" s="601"/>
      <c r="G1155" s="292"/>
      <c r="H1155" s="292"/>
      <c r="I1155" s="292"/>
    </row>
    <row r="1156" spans="1:9" s="135" customFormat="1" ht="20.25" customHeight="1" thickBot="1">
      <c r="A1156" s="292"/>
      <c r="B1156" s="631" t="s">
        <v>899</v>
      </c>
      <c r="C1156" s="631"/>
      <c r="D1156" s="604" t="s">
        <v>900</v>
      </c>
      <c r="E1156" s="604"/>
      <c r="F1156" s="604"/>
      <c r="G1156" s="292"/>
      <c r="H1156" s="292"/>
      <c r="I1156" s="292"/>
    </row>
    <row r="1157" spans="1:9" s="135" customFormat="1" ht="33" customHeight="1">
      <c r="A1157" s="292"/>
      <c r="B1157" s="602" t="s">
        <v>1077</v>
      </c>
      <c r="C1157" s="602"/>
      <c r="D1157" s="603" t="s">
        <v>802</v>
      </c>
      <c r="E1157" s="603"/>
      <c r="F1157" s="603"/>
      <c r="G1157" s="292"/>
      <c r="H1157" s="292"/>
      <c r="I1157" s="292"/>
    </row>
    <row r="1158" spans="1:9" s="135" customFormat="1" ht="20.25" customHeight="1">
      <c r="A1158" s="599" t="s">
        <v>803</v>
      </c>
      <c r="B1158" s="599"/>
      <c r="C1158" s="599"/>
      <c r="D1158" s="599"/>
      <c r="E1158" s="599"/>
      <c r="F1158" s="599"/>
      <c r="G1158" s="599"/>
      <c r="H1158" s="599"/>
      <c r="I1158" s="599"/>
    </row>
    <row r="1159" spans="1:9" s="135" customFormat="1" ht="20.25" customHeight="1">
      <c r="A1159" s="599" t="s">
        <v>877</v>
      </c>
      <c r="B1159" s="599"/>
      <c r="C1159" s="599"/>
      <c r="D1159" s="599"/>
      <c r="E1159" s="599"/>
      <c r="F1159" s="599"/>
      <c r="G1159" s="599"/>
      <c r="H1159" s="599"/>
      <c r="I1159" s="599"/>
    </row>
    <row r="1160" spans="1:8" s="135" customFormat="1" ht="20.25" customHeight="1">
      <c r="A1160" s="40"/>
      <c r="B1160" s="40"/>
      <c r="C1160"/>
      <c r="D1160" s="487" t="s">
        <v>682</v>
      </c>
      <c r="E1160" s="487"/>
      <c r="F1160" s="487"/>
      <c r="G1160" s="40"/>
      <c r="H1160" s="40"/>
    </row>
    <row r="1161" spans="1:8" s="135" customFormat="1" ht="20.25" customHeight="1">
      <c r="A1161" s="40"/>
      <c r="B1161" s="40"/>
      <c r="C1161" s="40"/>
      <c r="D1161" s="40"/>
      <c r="E1161" s="40"/>
      <c r="F1161" s="40"/>
      <c r="G1161" s="40"/>
      <c r="H1161" s="40"/>
    </row>
    <row r="1162" spans="1:9" s="135" customFormat="1" ht="20.25" customHeight="1">
      <c r="A1162" s="22" t="s">
        <v>683</v>
      </c>
      <c r="B1162" s="491" t="s">
        <v>688</v>
      </c>
      <c r="C1162" s="492"/>
      <c r="D1162" s="5" t="s">
        <v>686</v>
      </c>
      <c r="E1162" s="5" t="s">
        <v>712</v>
      </c>
      <c r="F1162" s="5" t="s">
        <v>686</v>
      </c>
      <c r="G1162" s="510" t="s">
        <v>713</v>
      </c>
      <c r="H1162" s="511"/>
      <c r="I1162" s="6" t="s">
        <v>714</v>
      </c>
    </row>
    <row r="1163" spans="1:9" s="135" customFormat="1" ht="20.25" customHeight="1">
      <c r="A1163" s="23" t="s">
        <v>97</v>
      </c>
      <c r="B1163" s="493"/>
      <c r="C1163" s="494"/>
      <c r="D1163" s="7" t="s">
        <v>656</v>
      </c>
      <c r="E1163" s="7" t="s">
        <v>715</v>
      </c>
      <c r="F1163" s="7" t="s">
        <v>657</v>
      </c>
      <c r="G1163" s="8" t="s">
        <v>706</v>
      </c>
      <c r="H1163" s="9" t="s">
        <v>707</v>
      </c>
      <c r="I1163" s="10" t="s">
        <v>717</v>
      </c>
    </row>
    <row r="1164" spans="1:9" s="135" customFormat="1" ht="20.25" customHeight="1">
      <c r="A1164" s="13">
        <v>1</v>
      </c>
      <c r="B1164" s="501">
        <v>2</v>
      </c>
      <c r="C1164" s="502"/>
      <c r="D1164" s="12">
        <v>3</v>
      </c>
      <c r="E1164" s="12">
        <v>4</v>
      </c>
      <c r="F1164" s="12">
        <v>5</v>
      </c>
      <c r="G1164" s="12">
        <v>6</v>
      </c>
      <c r="H1164" s="12">
        <v>7</v>
      </c>
      <c r="I1164" s="13">
        <v>8</v>
      </c>
    </row>
    <row r="1165" spans="1:9" s="135" customFormat="1" ht="20.25" customHeight="1">
      <c r="A1165" s="4">
        <v>111</v>
      </c>
      <c r="B1165" s="504" t="s">
        <v>540</v>
      </c>
      <c r="C1165" s="505"/>
      <c r="D1165" s="25">
        <v>93632.64</v>
      </c>
      <c r="E1165" s="25">
        <v>230128</v>
      </c>
      <c r="F1165" s="25">
        <v>88273.51</v>
      </c>
      <c r="G1165" s="26">
        <f aca="true" t="shared" si="62" ref="G1165:G1170">F1165/D1165</f>
        <v>0.9427642967238774</v>
      </c>
      <c r="H1165" s="27">
        <f aca="true" t="shared" si="63" ref="H1165:H1170">F1165/E1165</f>
        <v>0.38358439650976844</v>
      </c>
      <c r="I1165" s="16">
        <f>F1165/F1170</f>
        <v>0.21808887720787368</v>
      </c>
    </row>
    <row r="1166" spans="1:9" s="135" customFormat="1" ht="20.25" customHeight="1">
      <c r="A1166" s="4">
        <v>130</v>
      </c>
      <c r="B1166" s="504" t="s">
        <v>541</v>
      </c>
      <c r="C1166" s="505"/>
      <c r="D1166" s="234">
        <v>133182.86</v>
      </c>
      <c r="E1166" s="14">
        <v>251398</v>
      </c>
      <c r="F1166" s="14">
        <v>209915.32</v>
      </c>
      <c r="G1166" s="15">
        <f t="shared" si="62"/>
        <v>1.576143656924022</v>
      </c>
      <c r="H1166" s="16">
        <f t="shared" si="63"/>
        <v>0.8349920047096636</v>
      </c>
      <c r="I1166" s="16">
        <f>F1166/F1170</f>
        <v>0.5186176062052082</v>
      </c>
    </row>
    <row r="1167" spans="1:9" s="135" customFormat="1" ht="20.25" customHeight="1">
      <c r="A1167" s="4">
        <v>132</v>
      </c>
      <c r="B1167" s="504" t="s">
        <v>542</v>
      </c>
      <c r="C1167" s="505"/>
      <c r="D1167" s="238">
        <v>63307.72</v>
      </c>
      <c r="E1167" s="25">
        <v>130000</v>
      </c>
      <c r="F1167" s="25">
        <v>48910.51</v>
      </c>
      <c r="G1167" s="15">
        <f t="shared" si="62"/>
        <v>0.7725836596231865</v>
      </c>
      <c r="H1167" s="16">
        <f t="shared" si="63"/>
        <v>0.3762346923076923</v>
      </c>
      <c r="I1167" s="16">
        <f>F1167/F1170</f>
        <v>0.12083849627781289</v>
      </c>
    </row>
    <row r="1168" spans="1:9" s="135" customFormat="1" ht="20.25" customHeight="1">
      <c r="A1168" s="4">
        <v>200</v>
      </c>
      <c r="B1168" s="507" t="s">
        <v>543</v>
      </c>
      <c r="C1168" s="508"/>
      <c r="D1168" s="54">
        <v>0</v>
      </c>
      <c r="E1168" s="25">
        <v>0</v>
      </c>
      <c r="F1168" s="25">
        <v>0</v>
      </c>
      <c r="G1168" s="15" t="e">
        <f t="shared" si="62"/>
        <v>#DIV/0!</v>
      </c>
      <c r="H1168" s="16" t="e">
        <f t="shared" si="63"/>
        <v>#DIV/0!</v>
      </c>
      <c r="I1168" s="16">
        <f>F1168/F1170</f>
        <v>0</v>
      </c>
    </row>
    <row r="1169" spans="1:9" s="135" customFormat="1" ht="20.25" customHeight="1">
      <c r="A1169" s="4">
        <v>300</v>
      </c>
      <c r="B1169" s="504" t="s">
        <v>544</v>
      </c>
      <c r="C1169" s="505"/>
      <c r="D1169" s="25">
        <v>9254</v>
      </c>
      <c r="E1169" s="25">
        <v>50000</v>
      </c>
      <c r="F1169" s="25">
        <v>57660</v>
      </c>
      <c r="G1169" s="15">
        <f t="shared" si="62"/>
        <v>6.230819105251783</v>
      </c>
      <c r="H1169" s="16">
        <f t="shared" si="63"/>
        <v>1.1532</v>
      </c>
      <c r="I1169" s="16">
        <f>F1169/F1170</f>
        <v>0.14245502030910515</v>
      </c>
    </row>
    <row r="1170" spans="1:9" s="135" customFormat="1" ht="30" customHeight="1">
      <c r="A1170" s="17"/>
      <c r="B1170" s="583" t="s">
        <v>95</v>
      </c>
      <c r="C1170" s="584"/>
      <c r="D1170" s="288">
        <f>D1165+D1166+D1167+D1168+D1169</f>
        <v>299377.22</v>
      </c>
      <c r="E1170" s="211">
        <f>E1165+E1166+E1167+E1168+E1169</f>
        <v>661526</v>
      </c>
      <c r="F1170" s="211">
        <f>F1165+F1166+F1167+F1168+F1169</f>
        <v>404759.34</v>
      </c>
      <c r="G1170" s="212">
        <f t="shared" si="62"/>
        <v>1.352004471148473</v>
      </c>
      <c r="H1170" s="213">
        <f t="shared" si="63"/>
        <v>0.6118570396326071</v>
      </c>
      <c r="I1170" s="213">
        <f>SUM(I1165:I1169)</f>
        <v>0.9999999999999999</v>
      </c>
    </row>
    <row r="1171" spans="1:8" s="135" customFormat="1" ht="20.25" customHeight="1">
      <c r="A1171" s="49"/>
      <c r="B1171" s="49"/>
      <c r="C1171" s="49"/>
      <c r="D1171" s="49"/>
      <c r="E1171" s="208"/>
      <c r="F1171" s="49"/>
      <c r="G1171" s="49"/>
      <c r="H1171" s="40"/>
    </row>
    <row r="1172" spans="1:9" s="135" customFormat="1" ht="20.25" customHeight="1">
      <c r="A1172" s="289"/>
      <c r="B1172" s="600" t="s">
        <v>839</v>
      </c>
      <c r="C1172" s="600"/>
      <c r="D1172" s="600"/>
      <c r="E1172" s="600"/>
      <c r="F1172" s="600"/>
      <c r="G1172" s="600"/>
      <c r="H1172" s="600"/>
      <c r="I1172" s="600"/>
    </row>
    <row r="1173" spans="1:9" s="135" customFormat="1" ht="20.25" customHeight="1">
      <c r="A1173" s="600" t="s">
        <v>367</v>
      </c>
      <c r="B1173" s="600"/>
      <c r="C1173" s="600"/>
      <c r="D1173" s="600"/>
      <c r="E1173" s="600"/>
      <c r="F1173" s="600"/>
      <c r="G1173" s="600"/>
      <c r="H1173" s="600"/>
      <c r="I1173" s="600"/>
    </row>
    <row r="1174" spans="1:9" s="135" customFormat="1" ht="20.25" customHeight="1">
      <c r="A1174" s="600" t="s">
        <v>368</v>
      </c>
      <c r="B1174" s="600"/>
      <c r="C1174" s="600"/>
      <c r="D1174" s="600"/>
      <c r="E1174" s="600"/>
      <c r="F1174" s="600"/>
      <c r="G1174" s="600"/>
      <c r="H1174" s="600"/>
      <c r="I1174" s="600"/>
    </row>
    <row r="1175" spans="1:9" s="135" customFormat="1" ht="20.25" customHeight="1">
      <c r="A1175" s="503" t="s">
        <v>879</v>
      </c>
      <c r="B1175" s="503"/>
      <c r="C1175" s="503"/>
      <c r="D1175" s="503"/>
      <c r="E1175" s="503"/>
      <c r="F1175" s="503"/>
      <c r="G1175" s="503"/>
      <c r="H1175" s="503"/>
      <c r="I1175" s="503"/>
    </row>
    <row r="1176" spans="1:10" s="135" customFormat="1" ht="20.25" customHeight="1">
      <c r="A1176" s="486" t="s">
        <v>880</v>
      </c>
      <c r="B1176" s="486"/>
      <c r="C1176" s="486"/>
      <c r="D1176" s="486"/>
      <c r="E1176" s="486"/>
      <c r="F1176" s="486"/>
      <c r="G1176" s="486"/>
      <c r="H1176" s="486"/>
      <c r="I1176" s="486"/>
      <c r="J1176" s="302"/>
    </row>
    <row r="1177" spans="1:10" s="135" customFormat="1" ht="20.25" customHeight="1">
      <c r="A1177" s="39"/>
      <c r="B1177" s="39"/>
      <c r="C1177" s="39"/>
      <c r="D1177" s="39"/>
      <c r="E1177" s="39"/>
      <c r="F1177" s="39"/>
      <c r="G1177" s="39"/>
      <c r="H1177" s="39"/>
      <c r="I1177" s="39"/>
      <c r="J1177" s="302"/>
    </row>
    <row r="1178" spans="1:9" s="135" customFormat="1" ht="20.25" customHeight="1">
      <c r="A1178" s="1"/>
      <c r="B1178" s="1"/>
      <c r="C1178" s="1"/>
      <c r="D1178" s="1"/>
      <c r="E1178" s="1"/>
      <c r="F1178" s="1"/>
      <c r="G1178" s="1"/>
      <c r="H1178" s="1"/>
      <c r="I1178" s="186"/>
    </row>
    <row r="1179" spans="1:9" s="135" customFormat="1" ht="20.25" customHeight="1">
      <c r="A1179" s="1"/>
      <c r="B1179" s="1"/>
      <c r="C1179" s="1"/>
      <c r="D1179" s="1"/>
      <c r="E1179" s="1"/>
      <c r="F1179" s="1"/>
      <c r="G1179" s="1"/>
      <c r="H1179" s="1"/>
      <c r="I1179" s="430">
        <v>17</v>
      </c>
    </row>
    <row r="1180" spans="1:8" s="135" customFormat="1" ht="20.25" customHeight="1">
      <c r="A1180" s="1"/>
      <c r="B1180" s="1"/>
      <c r="C1180" s="1"/>
      <c r="D1180" s="1"/>
      <c r="E1180" s="1"/>
      <c r="F1180" s="1"/>
      <c r="G1180" s="1"/>
      <c r="H1180" s="1"/>
    </row>
    <row r="1181" s="135" customFormat="1" ht="20.25" customHeight="1"/>
    <row r="1182" spans="1:9" s="135" customFormat="1" ht="20.25" customHeight="1">
      <c r="A1182" s="486" t="s">
        <v>1205</v>
      </c>
      <c r="B1182" s="486"/>
      <c r="C1182" s="486"/>
      <c r="D1182" s="486"/>
      <c r="E1182" s="486"/>
      <c r="F1182" s="486"/>
      <c r="G1182" s="486"/>
      <c r="H1182" s="486"/>
      <c r="I1182" s="486"/>
    </row>
    <row r="1183" spans="1:9" s="135" customFormat="1" ht="20.25" customHeight="1">
      <c r="A1183" s="486" t="s">
        <v>1206</v>
      </c>
      <c r="B1183" s="486"/>
      <c r="C1183" s="486"/>
      <c r="D1183" s="486"/>
      <c r="E1183" s="486"/>
      <c r="F1183" s="486"/>
      <c r="G1183" s="486"/>
      <c r="H1183" s="486"/>
      <c r="I1183" s="486"/>
    </row>
    <row r="1184" spans="1:9" s="135" customFormat="1" ht="20.25" customHeight="1">
      <c r="A1184" s="486" t="s">
        <v>881</v>
      </c>
      <c r="B1184" s="486"/>
      <c r="C1184" s="486"/>
      <c r="D1184" s="486"/>
      <c r="E1184" s="486"/>
      <c r="F1184" s="486"/>
      <c r="G1184" s="486"/>
      <c r="H1184" s="486"/>
      <c r="I1184" s="486"/>
    </row>
    <row r="1185" spans="1:9" s="135" customFormat="1" ht="20.25" customHeight="1">
      <c r="A1185" s="486" t="s">
        <v>882</v>
      </c>
      <c r="B1185" s="486"/>
      <c r="C1185" s="486"/>
      <c r="D1185" s="486"/>
      <c r="E1185" s="486"/>
      <c r="F1185" s="486"/>
      <c r="G1185" s="486"/>
      <c r="H1185" s="486"/>
      <c r="I1185" s="486"/>
    </row>
    <row r="1186" spans="1:9" s="135" customFormat="1" ht="20.25" customHeight="1">
      <c r="A1186" s="486" t="s">
        <v>1207</v>
      </c>
      <c r="B1186" s="486"/>
      <c r="C1186" s="486"/>
      <c r="D1186" s="486"/>
      <c r="E1186" s="486"/>
      <c r="F1186" s="486"/>
      <c r="G1186" s="486"/>
      <c r="H1186" s="486"/>
      <c r="I1186" s="486"/>
    </row>
    <row r="1187" spans="1:9" s="135" customFormat="1" ht="20.25" customHeight="1">
      <c r="A1187" s="486" t="s">
        <v>842</v>
      </c>
      <c r="B1187" s="486"/>
      <c r="C1187" s="486"/>
      <c r="D1187" s="486"/>
      <c r="E1187" s="486"/>
      <c r="F1187" s="486"/>
      <c r="G1187" s="486"/>
      <c r="H1187" s="486"/>
      <c r="I1187" s="486"/>
    </row>
    <row r="1188" spans="1:9" s="135" customFormat="1" ht="20.25" customHeight="1">
      <c r="A1188" s="486" t="s">
        <v>1208</v>
      </c>
      <c r="B1188" s="486"/>
      <c r="C1188" s="486"/>
      <c r="D1188" s="486"/>
      <c r="E1188" s="486"/>
      <c r="F1188" s="486"/>
      <c r="G1188" s="486"/>
      <c r="H1188" s="486"/>
      <c r="I1188" s="486"/>
    </row>
    <row r="1189" spans="1:9" s="135" customFormat="1" ht="20.25" customHeight="1">
      <c r="A1189" s="486" t="s">
        <v>1209</v>
      </c>
      <c r="B1189" s="486"/>
      <c r="C1189" s="486"/>
      <c r="D1189" s="486"/>
      <c r="E1189" s="486"/>
      <c r="F1189" s="486"/>
      <c r="G1189" s="486"/>
      <c r="H1189" s="486"/>
      <c r="I1189" s="486"/>
    </row>
    <row r="1190" spans="1:9" s="135" customFormat="1" ht="20.25" customHeight="1">
      <c r="A1190" s="486" t="s">
        <v>369</v>
      </c>
      <c r="B1190" s="486"/>
      <c r="C1190" s="486"/>
      <c r="D1190" s="486"/>
      <c r="E1190" s="486"/>
      <c r="F1190" s="486"/>
      <c r="G1190" s="486"/>
      <c r="H1190" s="486"/>
      <c r="I1190" s="486"/>
    </row>
    <row r="1191" spans="1:9" s="135" customFormat="1" ht="20.25" customHeight="1">
      <c r="A1191" s="486" t="s">
        <v>1210</v>
      </c>
      <c r="B1191" s="486"/>
      <c r="C1191" s="486"/>
      <c r="D1191" s="486"/>
      <c r="E1191" s="486"/>
      <c r="F1191" s="486"/>
      <c r="G1191" s="486"/>
      <c r="H1191" s="486"/>
      <c r="I1191" s="486"/>
    </row>
    <row r="1192" spans="1:9" s="135" customFormat="1" ht="27" customHeight="1">
      <c r="A1192" s="273"/>
      <c r="B1192" s="281"/>
      <c r="C1192" s="281"/>
      <c r="D1192" s="281"/>
      <c r="E1192" s="273"/>
      <c r="F1192" s="273"/>
      <c r="G1192" s="273"/>
      <c r="H1192" s="273"/>
      <c r="I1192" s="273"/>
    </row>
    <row r="1193" spans="1:9" s="135" customFormat="1" ht="18.75" customHeight="1">
      <c r="A1193" s="503"/>
      <c r="B1193" s="503"/>
      <c r="C1193" s="503"/>
      <c r="D1193" s="503"/>
      <c r="E1193" s="503"/>
      <c r="F1193" s="503"/>
      <c r="G1193" s="503"/>
      <c r="H1193" s="503"/>
      <c r="I1193" s="503"/>
    </row>
    <row r="1194" spans="1:9" s="135" customFormat="1" ht="18.75" customHeight="1">
      <c r="A1194" s="503"/>
      <c r="B1194" s="503"/>
      <c r="C1194" s="503"/>
      <c r="D1194" s="503"/>
      <c r="E1194" s="503"/>
      <c r="F1194" s="503"/>
      <c r="G1194" s="503"/>
      <c r="H1194" s="503"/>
      <c r="I1194" s="503"/>
    </row>
    <row r="1195" spans="1:9" s="135" customFormat="1" ht="27" customHeight="1">
      <c r="A1195" s="273"/>
      <c r="B1195" s="281"/>
      <c r="C1195" s="281"/>
      <c r="D1195" s="281"/>
      <c r="E1195" s="273"/>
      <c r="F1195" s="273"/>
      <c r="G1195" s="273"/>
      <c r="H1195" s="273"/>
      <c r="I1195" s="273"/>
    </row>
    <row r="1196" spans="1:9" s="135" customFormat="1" ht="27" customHeight="1">
      <c r="A1196" s="273"/>
      <c r="B1196" s="281"/>
      <c r="C1196" s="281"/>
      <c r="D1196" s="281"/>
      <c r="E1196" s="273"/>
      <c r="F1196" s="273"/>
      <c r="G1196" s="273"/>
      <c r="H1196" s="273"/>
      <c r="I1196" s="273"/>
    </row>
    <row r="1197" spans="1:9" s="135" customFormat="1" ht="27" customHeight="1">
      <c r="A1197" s="273"/>
      <c r="B1197" s="605" t="s">
        <v>992</v>
      </c>
      <c r="C1197" s="605"/>
      <c r="D1197" s="605"/>
      <c r="E1197" s="273"/>
      <c r="F1197" s="273"/>
      <c r="G1197" s="273"/>
      <c r="H1197" s="273"/>
      <c r="I1197" s="273"/>
    </row>
    <row r="1198" spans="1:9" s="135" customFormat="1" ht="27" customHeight="1">
      <c r="A1198" s="273"/>
      <c r="B1198" s="297"/>
      <c r="C1198" s="297"/>
      <c r="D1198" s="297"/>
      <c r="E1198" s="273"/>
      <c r="F1198" s="273"/>
      <c r="G1198" s="273"/>
      <c r="H1198" s="273"/>
      <c r="I1198" s="273"/>
    </row>
    <row r="1199" spans="1:9" s="135" customFormat="1" ht="20.25" customHeight="1">
      <c r="A1199" s="273"/>
      <c r="B1199" s="281"/>
      <c r="C1199" s="281"/>
      <c r="D1199" s="281"/>
      <c r="E1199" s="273"/>
      <c r="F1199" s="273"/>
      <c r="G1199" s="273"/>
      <c r="H1199" s="273"/>
      <c r="I1199" s="273"/>
    </row>
    <row r="1200" spans="1:9" s="135" customFormat="1" ht="20.25" customHeight="1">
      <c r="A1200" s="273"/>
      <c r="B1200" s="515" t="s">
        <v>306</v>
      </c>
      <c r="C1200" s="585"/>
      <c r="D1200" s="585"/>
      <c r="E1200" s="585"/>
      <c r="F1200" s="585"/>
      <c r="G1200" s="585"/>
      <c r="H1200" s="585"/>
      <c r="I1200" s="585"/>
    </row>
    <row r="1201" spans="1:9" s="135" customFormat="1" ht="20.25" customHeight="1">
      <c r="A1201" s="273"/>
      <c r="B1201" s="515" t="s">
        <v>1211</v>
      </c>
      <c r="C1201" s="585"/>
      <c r="D1201" s="585"/>
      <c r="E1201" s="585"/>
      <c r="F1201" s="585"/>
      <c r="G1201" s="585"/>
      <c r="H1201" s="585"/>
      <c r="I1201" s="585"/>
    </row>
    <row r="1202" spans="1:9" s="135" customFormat="1" ht="20.25" customHeight="1">
      <c r="A1202" s="518" t="s">
        <v>1202</v>
      </c>
      <c r="B1202" s="518"/>
      <c r="C1202" s="518"/>
      <c r="D1202" s="518"/>
      <c r="E1202" s="518"/>
      <c r="F1202" s="518"/>
      <c r="G1202" s="518"/>
      <c r="H1202" s="518"/>
      <c r="I1202" s="518"/>
    </row>
    <row r="1203" spans="1:9" s="135" customFormat="1" ht="20.25" customHeight="1">
      <c r="A1203" s="273"/>
      <c r="B1203" s="515" t="s">
        <v>1212</v>
      </c>
      <c r="C1203" s="585"/>
      <c r="D1203" s="585"/>
      <c r="E1203" s="585"/>
      <c r="F1203" s="585"/>
      <c r="G1203" s="585"/>
      <c r="H1203" s="585"/>
      <c r="I1203" s="585"/>
    </row>
    <row r="1204" spans="1:9" s="135" customFormat="1" ht="20.25" customHeight="1">
      <c r="A1204" s="515" t="s">
        <v>1201</v>
      </c>
      <c r="B1204" s="515"/>
      <c r="C1204" s="515"/>
      <c r="D1204" s="515"/>
      <c r="E1204" s="515"/>
      <c r="F1204" s="515"/>
      <c r="G1204" s="515"/>
      <c r="H1204" s="515"/>
      <c r="I1204" s="515"/>
    </row>
    <row r="1205" spans="1:9" s="135" customFormat="1" ht="20.25" customHeight="1">
      <c r="A1205" s="273"/>
      <c r="B1205" s="518" t="s">
        <v>1203</v>
      </c>
      <c r="C1205" s="518"/>
      <c r="D1205" s="518"/>
      <c r="E1205" s="518"/>
      <c r="F1205" s="518"/>
      <c r="G1205" s="518"/>
      <c r="H1205" s="518"/>
      <c r="I1205" s="518"/>
    </row>
    <row r="1206" spans="1:9" s="135" customFormat="1" ht="20.25" customHeight="1">
      <c r="A1206" s="518" t="s">
        <v>1204</v>
      </c>
      <c r="B1206" s="518"/>
      <c r="C1206" s="518"/>
      <c r="D1206" s="518"/>
      <c r="E1206" s="518"/>
      <c r="F1206" s="518"/>
      <c r="G1206" s="518"/>
      <c r="H1206" s="518"/>
      <c r="I1206" s="518"/>
    </row>
    <row r="1207" spans="1:9" s="135" customFormat="1" ht="20.25" customHeight="1">
      <c r="A1207" s="273"/>
      <c r="B1207" s="273"/>
      <c r="C1207" s="273"/>
      <c r="D1207" s="273"/>
      <c r="E1207" s="273"/>
      <c r="F1207" s="273"/>
      <c r="G1207" s="273"/>
      <c r="H1207" s="273"/>
      <c r="I1207" s="273"/>
    </row>
    <row r="1208" spans="1:9" s="135" customFormat="1" ht="20.25" customHeight="1">
      <c r="A1208" s="273"/>
      <c r="B1208" s="273"/>
      <c r="C1208" s="273"/>
      <c r="D1208" s="273"/>
      <c r="E1208" s="273"/>
      <c r="F1208" s="273"/>
      <c r="G1208" s="273"/>
      <c r="H1208" s="273"/>
      <c r="I1208" s="273"/>
    </row>
    <row r="1209" spans="1:9" s="135" customFormat="1" ht="20.25" customHeight="1">
      <c r="A1209" s="273"/>
      <c r="B1209" s="273"/>
      <c r="C1209" s="273"/>
      <c r="D1209" s="273"/>
      <c r="E1209" s="273"/>
      <c r="F1209" s="273"/>
      <c r="G1209" s="273"/>
      <c r="H1209" s="273"/>
      <c r="I1209" s="273"/>
    </row>
    <row r="1210" spans="1:9" s="135" customFormat="1" ht="20.25" customHeight="1">
      <c r="A1210" s="273"/>
      <c r="B1210" s="273"/>
      <c r="C1210" s="273"/>
      <c r="D1210" s="273"/>
      <c r="E1210" s="273"/>
      <c r="F1210" s="273"/>
      <c r="G1210" s="273"/>
      <c r="H1210" s="273"/>
      <c r="I1210" s="273"/>
    </row>
    <row r="1211" spans="1:9" s="135" customFormat="1" ht="20.25" customHeight="1">
      <c r="A1211" s="273"/>
      <c r="B1211" s="273"/>
      <c r="C1211" s="273"/>
      <c r="D1211" s="273"/>
      <c r="E1211" s="273"/>
      <c r="F1211" s="273"/>
      <c r="G1211" s="273"/>
      <c r="H1211" s="273"/>
      <c r="I1211" s="273"/>
    </row>
    <row r="1212" spans="1:9" s="135" customFormat="1" ht="27" customHeight="1">
      <c r="A1212" s="273"/>
      <c r="B1212" s="605" t="s">
        <v>993</v>
      </c>
      <c r="C1212" s="605"/>
      <c r="D1212" s="605"/>
      <c r="E1212" s="605"/>
      <c r="F1212" s="273"/>
      <c r="G1212" s="273"/>
      <c r="H1212" s="273"/>
      <c r="I1212" s="273"/>
    </row>
    <row r="1213" spans="1:9" s="135" customFormat="1" ht="20.25" customHeight="1">
      <c r="A1213" s="273"/>
      <c r="B1213" s="273"/>
      <c r="C1213" s="273"/>
      <c r="D1213" s="273"/>
      <c r="E1213" s="273"/>
      <c r="F1213" s="273"/>
      <c r="G1213" s="273"/>
      <c r="H1213" s="273"/>
      <c r="I1213" s="273"/>
    </row>
    <row r="1214" spans="1:9" s="135" customFormat="1" ht="20.25" customHeight="1">
      <c r="A1214" s="273"/>
      <c r="B1214" s="273"/>
      <c r="C1214" s="273"/>
      <c r="D1214" s="273"/>
      <c r="E1214" s="273"/>
      <c r="F1214" s="273"/>
      <c r="G1214" s="273"/>
      <c r="H1214" s="273"/>
      <c r="I1214" s="273"/>
    </row>
    <row r="1215" spans="1:9" s="135" customFormat="1" ht="20.25" customHeight="1">
      <c r="A1215" s="273"/>
      <c r="B1215" s="273"/>
      <c r="C1215" s="273"/>
      <c r="D1215" s="273"/>
      <c r="E1215" s="273"/>
      <c r="F1215" s="273"/>
      <c r="G1215" s="273"/>
      <c r="H1215" s="273"/>
      <c r="I1215" s="273"/>
    </row>
    <row r="1216" spans="1:9" s="135" customFormat="1" ht="20.25" customHeight="1">
      <c r="A1216" s="273"/>
      <c r="B1216" s="273"/>
      <c r="C1216" s="273"/>
      <c r="D1216" s="273"/>
      <c r="E1216" s="273"/>
      <c r="F1216" s="273"/>
      <c r="G1216" s="273"/>
      <c r="H1216" s="273"/>
      <c r="I1216" s="273"/>
    </row>
    <row r="1217" spans="1:9" s="135" customFormat="1" ht="20.25" customHeight="1">
      <c r="A1217" s="273"/>
      <c r="B1217" s="273"/>
      <c r="C1217" s="273"/>
      <c r="D1217" s="273"/>
      <c r="E1217" s="273"/>
      <c r="F1217" s="273"/>
      <c r="G1217" s="273"/>
      <c r="H1217" s="273"/>
      <c r="I1217" s="273"/>
    </row>
    <row r="1218" spans="1:9" s="135" customFormat="1" ht="20.25" customHeight="1">
      <c r="A1218" s="273"/>
      <c r="B1218" s="273"/>
      <c r="C1218" s="273"/>
      <c r="D1218" s="273"/>
      <c r="E1218" s="273"/>
      <c r="F1218" s="273"/>
      <c r="G1218" s="273"/>
      <c r="H1218" s="273"/>
      <c r="I1218" s="273"/>
    </row>
    <row r="1219" spans="1:9" s="135" customFormat="1" ht="20.25" customHeight="1">
      <c r="A1219" s="273"/>
      <c r="B1219" s="273"/>
      <c r="C1219" s="273"/>
      <c r="D1219" s="273"/>
      <c r="E1219" s="273"/>
      <c r="F1219" s="273"/>
      <c r="G1219" s="273"/>
      <c r="H1219" s="273"/>
      <c r="I1219"/>
    </row>
    <row r="1220" spans="1:9" s="135" customFormat="1" ht="20.25" customHeight="1">
      <c r="A1220"/>
      <c r="B1220"/>
      <c r="C1220"/>
      <c r="D1220"/>
      <c r="E1220"/>
      <c r="F1220"/>
      <c r="G1220"/>
      <c r="H1220"/>
      <c r="I1220"/>
    </row>
    <row r="1221" spans="1:9" s="135" customFormat="1" ht="20.25" customHeight="1">
      <c r="A1221"/>
      <c r="B1221"/>
      <c r="C1221"/>
      <c r="D1221"/>
      <c r="E1221"/>
      <c r="F1221"/>
      <c r="G1221"/>
      <c r="H1221"/>
      <c r="I1221"/>
    </row>
    <row r="1222" spans="1:8" s="135" customFormat="1" ht="20.25" customHeight="1">
      <c r="A1222"/>
      <c r="B1222"/>
      <c r="C1222"/>
      <c r="D1222"/>
      <c r="E1222"/>
      <c r="F1222"/>
      <c r="G1222"/>
      <c r="H1222"/>
    </row>
    <row r="1223" s="135" customFormat="1" ht="20.25" customHeight="1">
      <c r="I1223" s="209"/>
    </row>
    <row r="1224" s="135" customFormat="1" ht="20.25" customHeight="1"/>
    <row r="1225" s="135" customFormat="1" ht="20.25" customHeight="1"/>
    <row r="1226" s="135" customFormat="1" ht="20.25" customHeight="1"/>
    <row r="1227" s="135" customFormat="1" ht="20.25" customHeight="1"/>
    <row r="1228" s="135" customFormat="1" ht="20.25" customHeight="1"/>
    <row r="1229" s="135" customFormat="1" ht="20.25" customHeight="1"/>
    <row r="1230" s="135" customFormat="1" ht="20.25" customHeight="1"/>
    <row r="1231" s="135" customFormat="1" ht="20.25" customHeight="1"/>
    <row r="1232" s="135" customFormat="1" ht="20.25" customHeight="1"/>
    <row r="1233" s="135" customFormat="1" ht="20.25" customHeight="1"/>
    <row r="1234" s="135" customFormat="1" ht="20.25" customHeight="1"/>
    <row r="1235" s="135" customFormat="1" ht="20.25" customHeight="1"/>
    <row r="1236" s="135" customFormat="1" ht="20.25" customHeight="1"/>
    <row r="1237" s="135" customFormat="1" ht="20.25" customHeight="1"/>
    <row r="1238" s="135" customFormat="1" ht="20.25" customHeight="1"/>
    <row r="1239" s="135" customFormat="1" ht="20.25" customHeight="1"/>
    <row r="1240" s="135" customFormat="1" ht="20.25" customHeight="1">
      <c r="I1240" s="430"/>
    </row>
    <row r="1241" s="135" customFormat="1" ht="20.25" customHeight="1">
      <c r="I1241" s="430">
        <v>18</v>
      </c>
    </row>
    <row r="1242" s="135" customFormat="1" ht="20.25" customHeight="1"/>
    <row r="1243" s="135" customFormat="1" ht="20.25" customHeight="1"/>
    <row r="1244" spans="1:9" s="135" customFormat="1" ht="30" customHeight="1">
      <c r="A1244" s="608" t="s">
        <v>848</v>
      </c>
      <c r="B1244" s="608"/>
      <c r="C1244" s="608"/>
      <c r="D1244" s="608"/>
      <c r="E1244" s="608"/>
      <c r="I1244" s="272"/>
    </row>
    <row r="1245" s="135" customFormat="1" ht="20.25" customHeight="1">
      <c r="I1245" s="272"/>
    </row>
    <row r="1246" s="135" customFormat="1" ht="20.25" customHeight="1">
      <c r="I1246" s="272"/>
    </row>
    <row r="1247" spans="2:9" s="135" customFormat="1" ht="20.25" customHeight="1">
      <c r="B1247" s="518" t="s">
        <v>849</v>
      </c>
      <c r="C1247" s="518"/>
      <c r="D1247" s="518"/>
      <c r="E1247" s="518"/>
      <c r="F1247" s="518"/>
      <c r="G1247" s="518"/>
      <c r="H1247" s="518"/>
      <c r="I1247" s="518"/>
    </row>
    <row r="1248" spans="1:9" s="135" customFormat="1" ht="20.25" customHeight="1">
      <c r="A1248" s="518" t="s">
        <v>851</v>
      </c>
      <c r="B1248" s="518"/>
      <c r="C1248" s="518"/>
      <c r="D1248" s="518"/>
      <c r="E1248" s="518"/>
      <c r="F1248" s="518"/>
      <c r="G1248" s="518"/>
      <c r="H1248" s="518"/>
      <c r="I1248" s="518"/>
    </row>
    <row r="1249" spans="1:9" s="135" customFormat="1" ht="20.25" customHeight="1">
      <c r="A1249" s="517" t="s">
        <v>793</v>
      </c>
      <c r="B1249" s="517"/>
      <c r="C1249" s="517"/>
      <c r="D1249" s="517"/>
      <c r="E1249" s="517"/>
      <c r="F1249" s="517"/>
      <c r="G1249" s="517"/>
      <c r="H1249" s="517"/>
      <c r="I1249" s="517"/>
    </row>
    <row r="1250" spans="1:9" s="135" customFormat="1" ht="20.25" customHeight="1">
      <c r="A1250" s="518" t="s">
        <v>850</v>
      </c>
      <c r="B1250" s="518"/>
      <c r="C1250" s="518"/>
      <c r="D1250" s="518"/>
      <c r="E1250" s="518"/>
      <c r="F1250" s="518"/>
      <c r="G1250" s="518"/>
      <c r="H1250" s="518"/>
      <c r="I1250" s="518"/>
    </row>
    <row r="1251" spans="1:9" s="135" customFormat="1" ht="20.25" customHeight="1">
      <c r="A1251" s="280"/>
      <c r="B1251" s="518" t="s">
        <v>1073</v>
      </c>
      <c r="C1251" s="518"/>
      <c r="D1251" s="518"/>
      <c r="E1251" s="518"/>
      <c r="F1251" s="518"/>
      <c r="G1251" s="518"/>
      <c r="H1251" s="518"/>
      <c r="I1251" s="518"/>
    </row>
    <row r="1252" spans="1:8" s="135" customFormat="1" ht="20.25" customHeight="1">
      <c r="A1252" s="40"/>
      <c r="B1252" s="39"/>
      <c r="C1252"/>
      <c r="D1252" s="487" t="s">
        <v>682</v>
      </c>
      <c r="E1252" s="487"/>
      <c r="F1252" s="487"/>
      <c r="G1252" s="40"/>
      <c r="H1252" s="40"/>
    </row>
    <row r="1253" spans="1:8" s="135" customFormat="1" ht="20.25" customHeight="1">
      <c r="A1253" s="40"/>
      <c r="B1253" s="40"/>
      <c r="C1253" s="40"/>
      <c r="D1253" s="40"/>
      <c r="E1253" s="40"/>
      <c r="F1253" s="40"/>
      <c r="G1253" s="40"/>
      <c r="H1253" s="40"/>
    </row>
    <row r="1254" spans="1:9" s="135" customFormat="1" ht="20.25" customHeight="1">
      <c r="A1254" s="612" t="s">
        <v>683</v>
      </c>
      <c r="B1254" s="491" t="s">
        <v>688</v>
      </c>
      <c r="C1254" s="492"/>
      <c r="D1254" s="5" t="s">
        <v>686</v>
      </c>
      <c r="E1254" s="5" t="s">
        <v>712</v>
      </c>
      <c r="F1254" s="5" t="s">
        <v>686</v>
      </c>
      <c r="G1254" s="510" t="s">
        <v>713</v>
      </c>
      <c r="H1254" s="511"/>
      <c r="I1254" s="6" t="s">
        <v>714</v>
      </c>
    </row>
    <row r="1255" spans="1:9" s="135" customFormat="1" ht="20.25" customHeight="1">
      <c r="A1255" s="613"/>
      <c r="B1255" s="493"/>
      <c r="C1255" s="494"/>
      <c r="D1255" s="7" t="s">
        <v>656</v>
      </c>
      <c r="E1255" s="7" t="s">
        <v>715</v>
      </c>
      <c r="F1255" s="7" t="s">
        <v>657</v>
      </c>
      <c r="G1255" s="8" t="s">
        <v>706</v>
      </c>
      <c r="H1255" s="9" t="s">
        <v>707</v>
      </c>
      <c r="I1255" s="10" t="s">
        <v>717</v>
      </c>
    </row>
    <row r="1256" spans="1:9" s="135" customFormat="1" ht="20.25" customHeight="1">
      <c r="A1256" s="13">
        <v>1</v>
      </c>
      <c r="B1256" s="501">
        <v>2</v>
      </c>
      <c r="C1256" s="502"/>
      <c r="D1256" s="12">
        <v>3</v>
      </c>
      <c r="E1256" s="12">
        <v>4</v>
      </c>
      <c r="F1256" s="12">
        <v>5</v>
      </c>
      <c r="G1256" s="12">
        <v>6</v>
      </c>
      <c r="H1256" s="12">
        <v>7</v>
      </c>
      <c r="I1256" s="13">
        <v>8</v>
      </c>
    </row>
    <row r="1257" spans="1:9" s="135" customFormat="1" ht="20.25" customHeight="1">
      <c r="A1257" s="188">
        <v>50104</v>
      </c>
      <c r="B1257" s="614" t="s">
        <v>988</v>
      </c>
      <c r="C1257" s="614"/>
      <c r="D1257" s="151">
        <v>250</v>
      </c>
      <c r="E1257" s="290">
        <v>3200</v>
      </c>
      <c r="F1257" s="25">
        <v>50</v>
      </c>
      <c r="G1257" s="15">
        <f>F1257/D1257</f>
        <v>0.2</v>
      </c>
      <c r="H1257" s="16">
        <f>F1257/E1257</f>
        <v>0.015625</v>
      </c>
      <c r="I1257" s="27">
        <f>F1257/F1263</f>
        <v>0.004151100041511001</v>
      </c>
    </row>
    <row r="1258" spans="1:9" s="135" customFormat="1" ht="20.25" customHeight="1">
      <c r="A1258" s="188">
        <v>50205</v>
      </c>
      <c r="B1258" s="614" t="s">
        <v>987</v>
      </c>
      <c r="C1258" s="614"/>
      <c r="D1258" s="151">
        <v>15150</v>
      </c>
      <c r="E1258" s="290">
        <v>31000</v>
      </c>
      <c r="F1258" s="25">
        <v>11575</v>
      </c>
      <c r="G1258" s="15">
        <f aca="true" t="shared" si="64" ref="G1258:G1263">F1258/D1258</f>
        <v>0.764026402640264</v>
      </c>
      <c r="H1258" s="16">
        <f aca="true" t="shared" si="65" ref="H1258:H1263">F1258/E1258</f>
        <v>0.37338709677419357</v>
      </c>
      <c r="I1258" s="16">
        <f>F1258/F1263</f>
        <v>0.9609796596097966</v>
      </c>
    </row>
    <row r="1259" spans="1:9" s="135" customFormat="1" ht="20.25" customHeight="1">
      <c r="A1259" s="188">
        <v>50501</v>
      </c>
      <c r="B1259" s="616" t="s">
        <v>922</v>
      </c>
      <c r="C1259" s="616"/>
      <c r="D1259" s="151">
        <v>1500</v>
      </c>
      <c r="E1259" s="290">
        <v>1000</v>
      </c>
      <c r="F1259" s="14">
        <v>140</v>
      </c>
      <c r="G1259" s="15">
        <f t="shared" si="64"/>
        <v>0.09333333333333334</v>
      </c>
      <c r="H1259" s="16">
        <f t="shared" si="65"/>
        <v>0.14</v>
      </c>
      <c r="I1259" s="16">
        <f>F1259/F1263</f>
        <v>0.011623080116230802</v>
      </c>
    </row>
    <row r="1260" spans="1:9" s="135" customFormat="1" ht="20.25" customHeight="1">
      <c r="A1260" s="291">
        <v>50505</v>
      </c>
      <c r="B1260" s="616" t="s">
        <v>166</v>
      </c>
      <c r="C1260" s="616"/>
      <c r="D1260" s="151">
        <v>1357</v>
      </c>
      <c r="E1260" s="290" t="s">
        <v>333</v>
      </c>
      <c r="F1260" s="25">
        <v>0</v>
      </c>
      <c r="G1260" s="15">
        <f t="shared" si="64"/>
        <v>0</v>
      </c>
      <c r="H1260" s="16">
        <f t="shared" si="65"/>
        <v>0</v>
      </c>
      <c r="I1260" s="27">
        <f>F1260/F1263</f>
        <v>0</v>
      </c>
    </row>
    <row r="1261" spans="1:9" s="135" customFormat="1" ht="20.25" customHeight="1">
      <c r="A1261" s="188">
        <v>50507</v>
      </c>
      <c r="B1261" s="614" t="s">
        <v>901</v>
      </c>
      <c r="C1261" s="614"/>
      <c r="D1261" s="151">
        <v>0</v>
      </c>
      <c r="E1261" s="290">
        <v>2600</v>
      </c>
      <c r="F1261" s="25">
        <v>280</v>
      </c>
      <c r="G1261" s="15" t="e">
        <f>F1261/D1261</f>
        <v>#DIV/0!</v>
      </c>
      <c r="H1261" s="16">
        <f>F1261/E1261</f>
        <v>0.1076923076923077</v>
      </c>
      <c r="I1261" s="27">
        <f>F1261/F1263</f>
        <v>0.023246160232461604</v>
      </c>
    </row>
    <row r="1262" spans="1:9" s="135" customFormat="1" ht="20.25" customHeight="1">
      <c r="A1262" s="149"/>
      <c r="B1262" s="619" t="s">
        <v>514</v>
      </c>
      <c r="C1262" s="620"/>
      <c r="D1262" s="151">
        <v>0</v>
      </c>
      <c r="E1262" s="290">
        <v>45000</v>
      </c>
      <c r="F1262" s="25">
        <v>0</v>
      </c>
      <c r="G1262" s="15" t="e">
        <f t="shared" si="64"/>
        <v>#DIV/0!</v>
      </c>
      <c r="H1262" s="16">
        <f t="shared" si="65"/>
        <v>0</v>
      </c>
      <c r="I1262" s="27">
        <f>F1262/F1263</f>
        <v>0</v>
      </c>
    </row>
    <row r="1263" spans="1:9" s="135" customFormat="1" ht="30" customHeight="1">
      <c r="A1263" s="17"/>
      <c r="B1263" s="583" t="s">
        <v>919</v>
      </c>
      <c r="C1263" s="584"/>
      <c r="D1263" s="279">
        <f>D1258+D1259+D1261+D1257+D1260+D1262</f>
        <v>18257</v>
      </c>
      <c r="E1263" s="279">
        <f>E1258+E1259+E1261+E1257+E1260+E1262</f>
        <v>84300</v>
      </c>
      <c r="F1263" s="279">
        <f>F1258+F1259+F1261+F1257+F1260+F1262</f>
        <v>12045</v>
      </c>
      <c r="G1263" s="265">
        <f t="shared" si="64"/>
        <v>0.6597469463767323</v>
      </c>
      <c r="H1263" s="266">
        <f t="shared" si="65"/>
        <v>0.14288256227758006</v>
      </c>
      <c r="I1263" s="213">
        <f>SUM(I1257:I1262)</f>
        <v>1</v>
      </c>
    </row>
    <row r="1264" spans="1:9" s="135" customFormat="1" ht="20.25" customHeight="1">
      <c r="A1264" s="282"/>
      <c r="B1264" s="283"/>
      <c r="C1264" s="283"/>
      <c r="D1264" s="284"/>
      <c r="E1264" s="285"/>
      <c r="F1264" s="285"/>
      <c r="G1264" s="286"/>
      <c r="H1264" s="287"/>
      <c r="I1264" s="287"/>
    </row>
    <row r="1265" spans="1:9" s="135" customFormat="1" ht="20.25" customHeight="1">
      <c r="A1265" s="599" t="s">
        <v>852</v>
      </c>
      <c r="B1265" s="599"/>
      <c r="C1265" s="599"/>
      <c r="D1265" s="599"/>
      <c r="E1265" s="599"/>
      <c r="F1265" s="599"/>
      <c r="G1265" s="599"/>
      <c r="H1265" s="599"/>
      <c r="I1265" s="599"/>
    </row>
    <row r="1266" spans="1:9" s="135" customFormat="1" ht="20.25" customHeight="1">
      <c r="A1266" s="599" t="s">
        <v>853</v>
      </c>
      <c r="B1266" s="599"/>
      <c r="C1266" s="599"/>
      <c r="D1266" s="599"/>
      <c r="E1266" s="599"/>
      <c r="F1266" s="599"/>
      <c r="G1266" s="599"/>
      <c r="H1266" s="599"/>
      <c r="I1266" s="599"/>
    </row>
    <row r="1267" spans="1:9" s="135" customFormat="1" ht="20.25" customHeight="1">
      <c r="A1267" s="599" t="s">
        <v>854</v>
      </c>
      <c r="B1267" s="599"/>
      <c r="C1267" s="599"/>
      <c r="D1267" s="599"/>
      <c r="E1267" s="599"/>
      <c r="F1267" s="599"/>
      <c r="G1267" s="599"/>
      <c r="H1267" s="599"/>
      <c r="I1267" s="599"/>
    </row>
    <row r="1268" spans="1:9" s="135" customFormat="1" ht="20.25" customHeight="1">
      <c r="A1268" s="599" t="s">
        <v>803</v>
      </c>
      <c r="B1268" s="599"/>
      <c r="C1268" s="599"/>
      <c r="D1268" s="599"/>
      <c r="E1268" s="599"/>
      <c r="F1268" s="599"/>
      <c r="G1268" s="599"/>
      <c r="H1268" s="599"/>
      <c r="I1268" s="599"/>
    </row>
    <row r="1269" spans="1:9" s="135" customFormat="1" ht="20.25" customHeight="1">
      <c r="A1269" s="599" t="s">
        <v>855</v>
      </c>
      <c r="B1269" s="599"/>
      <c r="C1269" s="599"/>
      <c r="D1269" s="599"/>
      <c r="E1269" s="599"/>
      <c r="F1269" s="599"/>
      <c r="G1269" s="599"/>
      <c r="H1269" s="599"/>
      <c r="I1269" s="599"/>
    </row>
    <row r="1270" spans="1:8" s="135" customFormat="1" ht="20.25" customHeight="1">
      <c r="A1270" s="40"/>
      <c r="B1270" s="40"/>
      <c r="C1270"/>
      <c r="D1270" s="487" t="s">
        <v>682</v>
      </c>
      <c r="E1270" s="487"/>
      <c r="F1270" s="487"/>
      <c r="G1270" s="40"/>
      <c r="H1270" s="40"/>
    </row>
    <row r="1271" spans="1:8" s="135" customFormat="1" ht="20.25" customHeight="1">
      <c r="A1271" s="40"/>
      <c r="B1271" s="40"/>
      <c r="C1271" s="40"/>
      <c r="D1271" s="40"/>
      <c r="E1271" s="40"/>
      <c r="F1271" s="40"/>
      <c r="G1271" s="40"/>
      <c r="H1271" s="40"/>
    </row>
    <row r="1272" spans="1:9" s="135" customFormat="1" ht="20.25" customHeight="1">
      <c r="A1272" s="22" t="s">
        <v>683</v>
      </c>
      <c r="B1272" s="491" t="s">
        <v>688</v>
      </c>
      <c r="C1272" s="492"/>
      <c r="D1272" s="5" t="s">
        <v>686</v>
      </c>
      <c r="E1272" s="5" t="s">
        <v>712</v>
      </c>
      <c r="F1272" s="5" t="s">
        <v>686</v>
      </c>
      <c r="G1272" s="510" t="s">
        <v>713</v>
      </c>
      <c r="H1272" s="511"/>
      <c r="I1272" s="6" t="s">
        <v>714</v>
      </c>
    </row>
    <row r="1273" spans="1:9" s="135" customFormat="1" ht="20.25" customHeight="1">
      <c r="A1273" s="23" t="s">
        <v>97</v>
      </c>
      <c r="B1273" s="493"/>
      <c r="C1273" s="494"/>
      <c r="D1273" s="7" t="s">
        <v>656</v>
      </c>
      <c r="E1273" s="7" t="s">
        <v>715</v>
      </c>
      <c r="F1273" s="7" t="s">
        <v>657</v>
      </c>
      <c r="G1273" s="8" t="s">
        <v>706</v>
      </c>
      <c r="H1273" s="9" t="s">
        <v>707</v>
      </c>
      <c r="I1273" s="10" t="s">
        <v>717</v>
      </c>
    </row>
    <row r="1274" spans="1:9" s="135" customFormat="1" ht="20.25" customHeight="1">
      <c r="A1274" s="13">
        <v>1</v>
      </c>
      <c r="B1274" s="501">
        <v>2</v>
      </c>
      <c r="C1274" s="502"/>
      <c r="D1274" s="12">
        <v>3</v>
      </c>
      <c r="E1274" s="12">
        <v>4</v>
      </c>
      <c r="F1274" s="12">
        <v>5</v>
      </c>
      <c r="G1274" s="12">
        <v>6</v>
      </c>
      <c r="H1274" s="12">
        <v>7</v>
      </c>
      <c r="I1274" s="13">
        <v>8</v>
      </c>
    </row>
    <row r="1275" spans="1:9" s="135" customFormat="1" ht="20.25" customHeight="1">
      <c r="A1275" s="4">
        <v>111</v>
      </c>
      <c r="B1275" s="504" t="s">
        <v>540</v>
      </c>
      <c r="C1275" s="505"/>
      <c r="D1275" s="25">
        <v>45302.01</v>
      </c>
      <c r="E1275" s="25">
        <v>121000</v>
      </c>
      <c r="F1275" s="25">
        <v>48444.97</v>
      </c>
      <c r="G1275" s="26">
        <f aca="true" t="shared" si="66" ref="G1275:G1280">F1275/D1275</f>
        <v>1.0693779370937404</v>
      </c>
      <c r="H1275" s="27">
        <f aca="true" t="shared" si="67" ref="H1275:H1280">F1275/E1275</f>
        <v>0.400371652892562</v>
      </c>
      <c r="I1275" s="16">
        <f>F1275/F1280</f>
        <v>0.6008945265414576</v>
      </c>
    </row>
    <row r="1276" spans="1:9" s="135" customFormat="1" ht="20.25" customHeight="1">
      <c r="A1276" s="4">
        <v>130</v>
      </c>
      <c r="B1276" s="504" t="s">
        <v>541</v>
      </c>
      <c r="C1276" s="505"/>
      <c r="D1276" s="234">
        <v>27324.49</v>
      </c>
      <c r="E1276" s="14">
        <v>54500</v>
      </c>
      <c r="F1276" s="14">
        <v>32176.45</v>
      </c>
      <c r="G1276" s="15">
        <f t="shared" si="66"/>
        <v>1.1775681815104326</v>
      </c>
      <c r="H1276" s="16">
        <f t="shared" si="67"/>
        <v>0.5903935779816514</v>
      </c>
      <c r="I1276" s="16">
        <f>F1276/F1280</f>
        <v>0.3991054734585424</v>
      </c>
    </row>
    <row r="1277" spans="1:9" s="135" customFormat="1" ht="20.25" customHeight="1">
      <c r="A1277" s="4">
        <v>132</v>
      </c>
      <c r="B1277" s="504" t="s">
        <v>542</v>
      </c>
      <c r="C1277" s="505"/>
      <c r="D1277" s="238">
        <v>0</v>
      </c>
      <c r="E1277" s="25">
        <v>0</v>
      </c>
      <c r="F1277" s="25">
        <v>0</v>
      </c>
      <c r="G1277" s="15" t="e">
        <f t="shared" si="66"/>
        <v>#DIV/0!</v>
      </c>
      <c r="H1277" s="16" t="e">
        <f t="shared" si="67"/>
        <v>#DIV/0!</v>
      </c>
      <c r="I1277" s="16">
        <f>F1277/F1280</f>
        <v>0</v>
      </c>
    </row>
    <row r="1278" spans="1:9" s="135" customFormat="1" ht="20.25" customHeight="1">
      <c r="A1278" s="4">
        <v>200</v>
      </c>
      <c r="B1278" s="507" t="s">
        <v>543</v>
      </c>
      <c r="C1278" s="508"/>
      <c r="D1278" s="54">
        <v>0</v>
      </c>
      <c r="E1278" s="25">
        <v>0</v>
      </c>
      <c r="F1278" s="25">
        <v>0</v>
      </c>
      <c r="G1278" s="15" t="e">
        <f t="shared" si="66"/>
        <v>#DIV/0!</v>
      </c>
      <c r="H1278" s="16" t="e">
        <f t="shared" si="67"/>
        <v>#DIV/0!</v>
      </c>
      <c r="I1278" s="16">
        <f>F1278/F1280</f>
        <v>0</v>
      </c>
    </row>
    <row r="1279" spans="1:9" s="135" customFormat="1" ht="20.25" customHeight="1">
      <c r="A1279" s="4">
        <v>300</v>
      </c>
      <c r="B1279" s="504" t="s">
        <v>544</v>
      </c>
      <c r="C1279" s="505"/>
      <c r="D1279" s="25">
        <v>0</v>
      </c>
      <c r="E1279" s="25">
        <v>0</v>
      </c>
      <c r="F1279" s="25">
        <v>0</v>
      </c>
      <c r="G1279" s="15" t="e">
        <f t="shared" si="66"/>
        <v>#DIV/0!</v>
      </c>
      <c r="H1279" s="16" t="e">
        <f t="shared" si="67"/>
        <v>#DIV/0!</v>
      </c>
      <c r="I1279" s="16">
        <f>F1279/F1280</f>
        <v>0</v>
      </c>
    </row>
    <row r="1280" spans="1:9" s="135" customFormat="1" ht="30" customHeight="1">
      <c r="A1280" s="17"/>
      <c r="B1280" s="583" t="s">
        <v>95</v>
      </c>
      <c r="C1280" s="584"/>
      <c r="D1280" s="288">
        <f>D1275+D1276+D1277+D1278+D1279</f>
        <v>72626.5</v>
      </c>
      <c r="E1280" s="211">
        <f>E1275+E1276+E1277+E1278+E1279</f>
        <v>175500</v>
      </c>
      <c r="F1280" s="211">
        <f>F1275+F1276+F1277+F1278+F1279</f>
        <v>80621.42</v>
      </c>
      <c r="G1280" s="212">
        <f t="shared" si="66"/>
        <v>1.1100826833180726</v>
      </c>
      <c r="H1280" s="213">
        <f t="shared" si="67"/>
        <v>0.45938131054131054</v>
      </c>
      <c r="I1280" s="213">
        <f>SUM(I1275:I1279)</f>
        <v>1</v>
      </c>
    </row>
    <row r="1281" spans="1:8" s="135" customFormat="1" ht="20.25" customHeight="1">
      <c r="A1281" s="49"/>
      <c r="B1281" s="49"/>
      <c r="C1281" s="49"/>
      <c r="D1281" s="49"/>
      <c r="E1281" s="208"/>
      <c r="F1281" s="49"/>
      <c r="G1281" s="49"/>
      <c r="H1281" s="40"/>
    </row>
    <row r="1282" spans="1:9" s="135" customFormat="1" ht="20.25" customHeight="1">
      <c r="A1282" s="289"/>
      <c r="B1282" s="600" t="s">
        <v>856</v>
      </c>
      <c r="C1282" s="600"/>
      <c r="D1282" s="600"/>
      <c r="E1282" s="600"/>
      <c r="F1282" s="600"/>
      <c r="G1282" s="600"/>
      <c r="H1282" s="600"/>
      <c r="I1282" s="600"/>
    </row>
    <row r="1283" spans="1:9" s="135" customFormat="1" ht="20.25" customHeight="1">
      <c r="A1283" s="600" t="s">
        <v>857</v>
      </c>
      <c r="B1283" s="600"/>
      <c r="C1283" s="600"/>
      <c r="D1283" s="600"/>
      <c r="E1283" s="600"/>
      <c r="F1283" s="600"/>
      <c r="G1283" s="600"/>
      <c r="H1283" s="600"/>
      <c r="I1283" s="600"/>
    </row>
    <row r="1284" spans="1:9" s="135" customFormat="1" ht="20.25" customHeight="1">
      <c r="A1284" s="600" t="s">
        <v>858</v>
      </c>
      <c r="B1284" s="600"/>
      <c r="C1284" s="600"/>
      <c r="D1284" s="600"/>
      <c r="E1284" s="600"/>
      <c r="F1284" s="600"/>
      <c r="G1284" s="600"/>
      <c r="H1284" s="600"/>
      <c r="I1284" s="600"/>
    </row>
    <row r="1285" spans="1:9" s="135" customFormat="1" ht="20.25" customHeight="1">
      <c r="A1285" s="503" t="s">
        <v>48</v>
      </c>
      <c r="B1285" s="503"/>
      <c r="C1285" s="503"/>
      <c r="D1285" s="503"/>
      <c r="E1285" s="503"/>
      <c r="F1285" s="503"/>
      <c r="G1285" s="503"/>
      <c r="H1285" s="503"/>
      <c r="I1285" s="503"/>
    </row>
    <row r="1286" spans="1:9" s="135" customFormat="1" ht="20.25" customHeight="1">
      <c r="A1286" s="486" t="s">
        <v>49</v>
      </c>
      <c r="B1286" s="486"/>
      <c r="C1286" s="486"/>
      <c r="D1286" s="486"/>
      <c r="E1286" s="486"/>
      <c r="F1286" s="486"/>
      <c r="G1286" s="486"/>
      <c r="H1286" s="486"/>
      <c r="I1286" s="486"/>
    </row>
    <row r="1287" spans="1:9" s="135" customFormat="1" ht="20.25" customHeight="1">
      <c r="A1287" s="486" t="s">
        <v>50</v>
      </c>
      <c r="B1287" s="486"/>
      <c r="C1287" s="486"/>
      <c r="D1287" s="486"/>
      <c r="E1287" s="486"/>
      <c r="F1287" s="486"/>
      <c r="G1287" s="486"/>
      <c r="H1287" s="486"/>
      <c r="I1287" s="486"/>
    </row>
    <row r="1288" spans="1:9" s="135" customFormat="1" ht="20.25" customHeight="1">
      <c r="A1288" s="486" t="s">
        <v>51</v>
      </c>
      <c r="B1288" s="486"/>
      <c r="C1288" s="486"/>
      <c r="D1288" s="486"/>
      <c r="E1288" s="486"/>
      <c r="F1288" s="486"/>
      <c r="G1288" s="486"/>
      <c r="H1288" s="486"/>
      <c r="I1288" s="486"/>
    </row>
    <row r="1289" spans="1:9" s="135" customFormat="1" ht="20.25" customHeight="1">
      <c r="A1289" s="486" t="s">
        <v>52</v>
      </c>
      <c r="B1289" s="486"/>
      <c r="C1289" s="486"/>
      <c r="D1289" s="486"/>
      <c r="E1289" s="486"/>
      <c r="F1289" s="486"/>
      <c r="G1289" s="486"/>
      <c r="H1289" s="486"/>
      <c r="I1289" s="486"/>
    </row>
    <row r="1290" spans="1:9" s="135" customFormat="1" ht="20.25" customHeight="1">
      <c r="A1290" s="486" t="s">
        <v>53</v>
      </c>
      <c r="B1290" s="486"/>
      <c r="C1290" s="486"/>
      <c r="D1290" s="486"/>
      <c r="E1290" s="486"/>
      <c r="F1290" s="486"/>
      <c r="G1290" s="486"/>
      <c r="H1290" s="486"/>
      <c r="I1290" s="486"/>
    </row>
    <row r="1291" spans="1:9" s="135" customFormat="1" ht="20.25" customHeight="1">
      <c r="A1291" s="486"/>
      <c r="B1291" s="486"/>
      <c r="C1291" s="486"/>
      <c r="D1291" s="486"/>
      <c r="E1291" s="486"/>
      <c r="F1291" s="486"/>
      <c r="G1291" s="486"/>
      <c r="H1291" s="486"/>
      <c r="I1291" s="486"/>
    </row>
    <row r="1292" spans="1:9" s="135" customFormat="1" ht="27" customHeight="1">
      <c r="A1292" s="520" t="s">
        <v>992</v>
      </c>
      <c r="B1292" s="520"/>
      <c r="C1292" s="520"/>
      <c r="D1292" s="520"/>
      <c r="E1292" s="39"/>
      <c r="F1292" s="39"/>
      <c r="G1292" s="39"/>
      <c r="H1292" s="39"/>
      <c r="I1292" s="39"/>
    </row>
    <row r="1293" spans="1:9" s="135" customFormat="1" ht="27" customHeight="1">
      <c r="A1293" s="134"/>
      <c r="B1293" s="134"/>
      <c r="C1293" s="134"/>
      <c r="D1293" s="134"/>
      <c r="E1293" s="39"/>
      <c r="F1293" s="39"/>
      <c r="G1293" s="39"/>
      <c r="H1293" s="39"/>
      <c r="I1293" s="39"/>
    </row>
    <row r="1294" spans="1:9" s="135" customFormat="1" ht="20.25" customHeight="1">
      <c r="A1294" s="486"/>
      <c r="B1294" s="486"/>
      <c r="C1294" s="486"/>
      <c r="D1294" s="486"/>
      <c r="E1294" s="486"/>
      <c r="F1294" s="486"/>
      <c r="G1294" s="486"/>
      <c r="H1294" s="486"/>
      <c r="I1294" s="486"/>
    </row>
    <row r="1295" spans="1:9" s="135" customFormat="1" ht="20.25" customHeight="1">
      <c r="A1295" s="486"/>
      <c r="B1295" s="486"/>
      <c r="C1295" s="486"/>
      <c r="D1295" s="486"/>
      <c r="E1295" s="486"/>
      <c r="F1295" s="486"/>
      <c r="G1295" s="486"/>
      <c r="H1295" s="486"/>
      <c r="I1295" s="486"/>
    </row>
    <row r="1296" spans="1:9" s="135" customFormat="1" ht="20.25" customHeight="1">
      <c r="A1296" s="273"/>
      <c r="B1296" s="273"/>
      <c r="C1296" s="273"/>
      <c r="D1296" s="273"/>
      <c r="E1296" s="273"/>
      <c r="F1296" s="273"/>
      <c r="G1296" s="273"/>
      <c r="H1296" s="273"/>
      <c r="I1296" s="273"/>
    </row>
    <row r="1297" spans="1:9" s="135" customFormat="1" ht="30" customHeight="1">
      <c r="A1297" s="273"/>
      <c r="B1297" s="605" t="s">
        <v>993</v>
      </c>
      <c r="C1297" s="605"/>
      <c r="D1297" s="605"/>
      <c r="E1297" s="605"/>
      <c r="F1297" s="273"/>
      <c r="G1297" s="273"/>
      <c r="H1297" s="273"/>
      <c r="I1297" s="273"/>
    </row>
    <row r="1298" spans="1:8" s="135" customFormat="1" ht="20.25" customHeight="1">
      <c r="A1298" s="273"/>
      <c r="B1298" s="281"/>
      <c r="C1298" s="281"/>
      <c r="D1298" s="281"/>
      <c r="E1298" s="273"/>
      <c r="F1298" s="273"/>
      <c r="G1298" s="273"/>
      <c r="H1298" s="273"/>
    </row>
    <row r="1299" spans="1:8" s="135" customFormat="1" ht="20.25" customHeight="1">
      <c r="A1299" s="273"/>
      <c r="B1299" s="281"/>
      <c r="C1299" s="281"/>
      <c r="D1299" s="281"/>
      <c r="E1299" s="273"/>
      <c r="F1299" s="273"/>
      <c r="G1299" s="273"/>
      <c r="H1299" s="273"/>
    </row>
    <row r="1300" spans="1:8" s="135" customFormat="1" ht="20.25" customHeight="1">
      <c r="A1300" s="273"/>
      <c r="E1300" s="273"/>
      <c r="F1300" s="273"/>
      <c r="G1300" s="273"/>
      <c r="H1300" s="273"/>
    </row>
    <row r="1301" spans="1:9" s="135" customFormat="1" ht="20.25" customHeight="1">
      <c r="A1301" s="273"/>
      <c r="B1301" s="281"/>
      <c r="C1301" s="281"/>
      <c r="D1301" s="281"/>
      <c r="E1301" s="273"/>
      <c r="F1301" s="273"/>
      <c r="G1301" s="273"/>
      <c r="H1301" s="273"/>
      <c r="I1301" s="430"/>
    </row>
    <row r="1302" spans="1:9" s="135" customFormat="1" ht="20.25" customHeight="1">
      <c r="A1302" s="273"/>
      <c r="B1302" s="281"/>
      <c r="C1302" s="281"/>
      <c r="D1302" s="281"/>
      <c r="E1302" s="273"/>
      <c r="F1302" s="273"/>
      <c r="G1302" s="273"/>
      <c r="H1302" s="273"/>
      <c r="I1302" s="430">
        <v>19</v>
      </c>
    </row>
    <row r="1303" spans="1:8" s="135" customFormat="1" ht="20.25" customHeight="1">
      <c r="A1303" s="273"/>
      <c r="B1303" s="281"/>
      <c r="C1303" s="281"/>
      <c r="D1303" s="281"/>
      <c r="E1303" s="273"/>
      <c r="F1303" s="273"/>
      <c r="G1303" s="273"/>
      <c r="H1303" s="273"/>
    </row>
    <row r="1304" spans="1:9" s="135" customFormat="1" ht="20.25" customHeight="1">
      <c r="A1304" s="273"/>
      <c r="B1304" s="281"/>
      <c r="C1304" s="281"/>
      <c r="D1304" s="281"/>
      <c r="E1304" s="273"/>
      <c r="F1304" s="273"/>
      <c r="G1304" s="273"/>
      <c r="H1304" s="273"/>
      <c r="I1304" s="209"/>
    </row>
    <row r="1305" spans="1:9" s="135" customFormat="1" ht="20.25" customHeight="1">
      <c r="A1305" s="273"/>
      <c r="B1305" s="281"/>
      <c r="C1305" s="281"/>
      <c r="D1305" s="281"/>
      <c r="E1305" s="273"/>
      <c r="F1305" s="273"/>
      <c r="G1305" s="273"/>
      <c r="H1305" s="273"/>
      <c r="I1305" s="209"/>
    </row>
    <row r="1306" spans="1:9" s="135" customFormat="1" ht="30" customHeight="1">
      <c r="A1306" s="608" t="s">
        <v>585</v>
      </c>
      <c r="B1306" s="608"/>
      <c r="C1306" s="608"/>
      <c r="D1306" s="608"/>
      <c r="E1306" s="608"/>
      <c r="I1306" s="272"/>
    </row>
    <row r="1307" spans="1:9" s="135" customFormat="1" ht="30" customHeight="1">
      <c r="A1307" s="278"/>
      <c r="B1307" s="278"/>
      <c r="C1307" s="278"/>
      <c r="D1307" s="278"/>
      <c r="E1307" s="278"/>
      <c r="I1307" s="272"/>
    </row>
    <row r="1308" spans="1:9" s="135" customFormat="1" ht="20.25" customHeight="1">
      <c r="A1308" s="278"/>
      <c r="B1308" s="278"/>
      <c r="C1308" s="278"/>
      <c r="D1308" s="278"/>
      <c r="E1308" s="278"/>
      <c r="I1308" s="272"/>
    </row>
    <row r="1309" spans="2:9" s="135" customFormat="1" ht="20.25" customHeight="1">
      <c r="B1309" s="518" t="s">
        <v>843</v>
      </c>
      <c r="C1309" s="518"/>
      <c r="D1309" s="518"/>
      <c r="E1309" s="518"/>
      <c r="F1309" s="518"/>
      <c r="G1309" s="518"/>
      <c r="H1309" s="518"/>
      <c r="I1309" s="518"/>
    </row>
    <row r="1310" spans="1:9" s="135" customFormat="1" ht="20.25" customHeight="1">
      <c r="A1310" s="518" t="s">
        <v>844</v>
      </c>
      <c r="B1310" s="518"/>
      <c r="C1310" s="518"/>
      <c r="D1310" s="518"/>
      <c r="E1310" s="518"/>
      <c r="F1310" s="518"/>
      <c r="G1310" s="518"/>
      <c r="H1310" s="518"/>
      <c r="I1310" s="518"/>
    </row>
    <row r="1311" spans="1:9" s="135" customFormat="1" ht="20.25" customHeight="1">
      <c r="A1311" s="518" t="s">
        <v>793</v>
      </c>
      <c r="B1311" s="518"/>
      <c r="C1311" s="518"/>
      <c r="D1311" s="518"/>
      <c r="E1311" s="518"/>
      <c r="F1311" s="518"/>
      <c r="G1311" s="518"/>
      <c r="H1311" s="518"/>
      <c r="I1311" s="518"/>
    </row>
    <row r="1312" spans="1:9" s="135" customFormat="1" ht="20.25" customHeight="1">
      <c r="A1312" s="518" t="s">
        <v>55</v>
      </c>
      <c r="B1312" s="518"/>
      <c r="C1312" s="518"/>
      <c r="D1312" s="518"/>
      <c r="E1312" s="518"/>
      <c r="F1312" s="518"/>
      <c r="G1312" s="518"/>
      <c r="H1312" s="518"/>
      <c r="I1312" s="518"/>
    </row>
    <row r="1313" spans="1:9" s="135" customFormat="1" ht="20.25" customHeight="1">
      <c r="A1313" s="280"/>
      <c r="B1313" s="518" t="s">
        <v>1073</v>
      </c>
      <c r="C1313" s="518"/>
      <c r="D1313" s="518"/>
      <c r="E1313" s="518"/>
      <c r="F1313" s="518"/>
      <c r="G1313" s="518"/>
      <c r="H1313" s="518"/>
      <c r="I1313" s="518"/>
    </row>
    <row r="1314" spans="1:9" s="135" customFormat="1" ht="20.25" customHeight="1">
      <c r="A1314" s="280"/>
      <c r="B1314" s="280"/>
      <c r="C1314" s="280"/>
      <c r="D1314" s="280"/>
      <c r="E1314" s="280"/>
      <c r="F1314" s="280"/>
      <c r="G1314" s="280"/>
      <c r="H1314" s="280"/>
      <c r="I1314" s="280"/>
    </row>
    <row r="1315" spans="1:8" s="135" customFormat="1" ht="20.25" customHeight="1">
      <c r="A1315" s="40"/>
      <c r="B1315" s="39"/>
      <c r="C1315"/>
      <c r="D1315" s="487" t="s">
        <v>682</v>
      </c>
      <c r="E1315" s="487"/>
      <c r="F1315" s="487"/>
      <c r="G1315" s="40"/>
      <c r="H1315" s="40"/>
    </row>
    <row r="1316" spans="1:8" s="135" customFormat="1" ht="20.25" customHeight="1">
      <c r="A1316" s="40"/>
      <c r="B1316" s="40"/>
      <c r="C1316" s="40"/>
      <c r="D1316" s="40"/>
      <c r="E1316" s="40"/>
      <c r="F1316" s="40"/>
      <c r="G1316" s="40"/>
      <c r="H1316" s="40"/>
    </row>
    <row r="1317" spans="1:9" s="135" customFormat="1" ht="20.25" customHeight="1">
      <c r="A1317" s="612" t="s">
        <v>683</v>
      </c>
      <c r="B1317" s="491" t="s">
        <v>688</v>
      </c>
      <c r="C1317" s="492"/>
      <c r="D1317" s="5" t="s">
        <v>686</v>
      </c>
      <c r="E1317" s="5" t="s">
        <v>712</v>
      </c>
      <c r="F1317" s="5" t="s">
        <v>686</v>
      </c>
      <c r="G1317" s="510" t="s">
        <v>713</v>
      </c>
      <c r="H1317" s="511"/>
      <c r="I1317" s="6" t="s">
        <v>714</v>
      </c>
    </row>
    <row r="1318" spans="1:9" s="135" customFormat="1" ht="20.25" customHeight="1">
      <c r="A1318" s="613"/>
      <c r="B1318" s="493"/>
      <c r="C1318" s="494"/>
      <c r="D1318" s="7" t="s">
        <v>656</v>
      </c>
      <c r="E1318" s="7" t="s">
        <v>715</v>
      </c>
      <c r="F1318" s="7" t="s">
        <v>657</v>
      </c>
      <c r="G1318" s="8" t="s">
        <v>706</v>
      </c>
      <c r="H1318" s="9" t="s">
        <v>707</v>
      </c>
      <c r="I1318" s="10" t="s">
        <v>717</v>
      </c>
    </row>
    <row r="1319" spans="1:9" s="135" customFormat="1" ht="20.25" customHeight="1">
      <c r="A1319" s="13">
        <v>1</v>
      </c>
      <c r="B1319" s="501">
        <v>2</v>
      </c>
      <c r="C1319" s="502"/>
      <c r="D1319" s="12">
        <v>3</v>
      </c>
      <c r="E1319" s="12">
        <v>4</v>
      </c>
      <c r="F1319" s="12">
        <v>5</v>
      </c>
      <c r="G1319" s="12">
        <v>6</v>
      </c>
      <c r="H1319" s="12">
        <v>7</v>
      </c>
      <c r="I1319" s="13">
        <v>8</v>
      </c>
    </row>
    <row r="1320" spans="1:9" s="135" customFormat="1" ht="20.25" customHeight="1">
      <c r="A1320" s="4">
        <v>50020</v>
      </c>
      <c r="B1320" s="507" t="s">
        <v>902</v>
      </c>
      <c r="C1320" s="508"/>
      <c r="D1320" s="54">
        <v>3670</v>
      </c>
      <c r="E1320" s="25">
        <v>10500</v>
      </c>
      <c r="F1320" s="25">
        <v>3780</v>
      </c>
      <c r="G1320" s="26">
        <f>F1320/D1320</f>
        <v>1.0299727520435968</v>
      </c>
      <c r="H1320" s="27">
        <f>F1320/E1320</f>
        <v>0.36</v>
      </c>
      <c r="I1320" s="27">
        <f>F1320/F1321</f>
        <v>1</v>
      </c>
    </row>
    <row r="1321" spans="1:9" s="135" customFormat="1" ht="30" customHeight="1">
      <c r="A1321" s="17"/>
      <c r="B1321" s="548" t="s">
        <v>919</v>
      </c>
      <c r="C1321" s="549"/>
      <c r="D1321" s="279">
        <f>D1320</f>
        <v>3670</v>
      </c>
      <c r="E1321" s="279">
        <f>E1320</f>
        <v>10500</v>
      </c>
      <c r="F1321" s="279">
        <f>F1320</f>
        <v>3780</v>
      </c>
      <c r="G1321" s="212">
        <f>F1321/D1321</f>
        <v>1.0299727520435968</v>
      </c>
      <c r="H1321" s="213">
        <f>F1321/E1321</f>
        <v>0.36</v>
      </c>
      <c r="I1321" s="213">
        <f>SUM(I1320:I1320)</f>
        <v>1</v>
      </c>
    </row>
    <row r="1322" spans="1:9" s="135" customFormat="1" ht="20.25" customHeight="1">
      <c r="A1322" s="518"/>
      <c r="B1322" s="518"/>
      <c r="C1322" s="518"/>
      <c r="D1322" s="518"/>
      <c r="E1322" s="518"/>
      <c r="F1322" s="518"/>
      <c r="G1322" s="518"/>
      <c r="H1322" s="518"/>
      <c r="I1322" s="518"/>
    </row>
    <row r="1323" spans="1:9" s="135" customFormat="1" ht="20.25" customHeight="1">
      <c r="A1323" s="191"/>
      <c r="B1323" s="518" t="s">
        <v>54</v>
      </c>
      <c r="C1323" s="518"/>
      <c r="D1323" s="518"/>
      <c r="E1323" s="518"/>
      <c r="F1323" s="518"/>
      <c r="G1323" s="518"/>
      <c r="H1323" s="518"/>
      <c r="I1323" s="518"/>
    </row>
    <row r="1324" spans="1:9" s="135" customFormat="1" ht="20.25" customHeight="1">
      <c r="A1324" s="289"/>
      <c r="B1324" s="600" t="s">
        <v>56</v>
      </c>
      <c r="C1324" s="600"/>
      <c r="D1324" s="600"/>
      <c r="E1324" s="600"/>
      <c r="F1324" s="600"/>
      <c r="G1324" s="600"/>
      <c r="H1324" s="600"/>
      <c r="I1324" s="600"/>
    </row>
    <row r="1325" spans="1:9" s="135" customFormat="1" ht="20.25" customHeight="1">
      <c r="A1325" s="600" t="s">
        <v>57</v>
      </c>
      <c r="B1325" s="600"/>
      <c r="C1325" s="600"/>
      <c r="D1325" s="600"/>
      <c r="E1325" s="600"/>
      <c r="F1325" s="600"/>
      <c r="G1325" s="600"/>
      <c r="H1325" s="600"/>
      <c r="I1325" s="600"/>
    </row>
    <row r="1326" spans="1:9" s="135" customFormat="1" ht="20.25" customHeight="1">
      <c r="A1326" s="600" t="s">
        <v>923</v>
      </c>
      <c r="B1326" s="600"/>
      <c r="C1326" s="600"/>
      <c r="D1326" s="600"/>
      <c r="E1326" s="600"/>
      <c r="F1326" s="600"/>
      <c r="G1326" s="600"/>
      <c r="H1326" s="600"/>
      <c r="I1326" s="600"/>
    </row>
    <row r="1327" spans="1:9" s="135" customFormat="1" ht="20.25" customHeight="1">
      <c r="A1327" s="191"/>
      <c r="B1327" s="191"/>
      <c r="C1327" s="191"/>
      <c r="D1327" s="191"/>
      <c r="E1327" s="191"/>
      <c r="F1327" s="191"/>
      <c r="G1327" s="191"/>
      <c r="H1327" s="191"/>
      <c r="I1327" s="191"/>
    </row>
    <row r="1328" spans="2:9" s="135" customFormat="1" ht="20.25" customHeight="1">
      <c r="B1328" s="141"/>
      <c r="C1328" s="141"/>
      <c r="D1328" s="517" t="s">
        <v>682</v>
      </c>
      <c r="E1328" s="517"/>
      <c r="F1328" s="517"/>
      <c r="G1328" s="141"/>
      <c r="H1328" s="141"/>
      <c r="I1328" s="141"/>
    </row>
    <row r="1329" spans="1:8" s="135" customFormat="1" ht="20.25" customHeight="1">
      <c r="A1329" s="40"/>
      <c r="B1329" s="40"/>
      <c r="C1329" s="40"/>
      <c r="D1329" s="40"/>
      <c r="E1329" s="40"/>
      <c r="F1329" s="40"/>
      <c r="G1329" s="40"/>
      <c r="H1329" s="40"/>
    </row>
    <row r="1330" spans="1:9" s="135" customFormat="1" ht="20.25" customHeight="1">
      <c r="A1330" s="22" t="s">
        <v>683</v>
      </c>
      <c r="B1330" s="491" t="s">
        <v>688</v>
      </c>
      <c r="C1330" s="492"/>
      <c r="D1330" s="5" t="s">
        <v>686</v>
      </c>
      <c r="E1330" s="5" t="s">
        <v>712</v>
      </c>
      <c r="F1330" s="5" t="s">
        <v>686</v>
      </c>
      <c r="G1330" s="510" t="s">
        <v>713</v>
      </c>
      <c r="H1330" s="511"/>
      <c r="I1330" s="6" t="s">
        <v>714</v>
      </c>
    </row>
    <row r="1331" spans="1:9" s="135" customFormat="1" ht="20.25" customHeight="1">
      <c r="A1331" s="23" t="s">
        <v>97</v>
      </c>
      <c r="B1331" s="493"/>
      <c r="C1331" s="494"/>
      <c r="D1331" s="7" t="s">
        <v>656</v>
      </c>
      <c r="E1331" s="7" t="s">
        <v>715</v>
      </c>
      <c r="F1331" s="7" t="s">
        <v>657</v>
      </c>
      <c r="G1331" s="8" t="s">
        <v>706</v>
      </c>
      <c r="H1331" s="9" t="s">
        <v>707</v>
      </c>
      <c r="I1331" s="10" t="s">
        <v>717</v>
      </c>
    </row>
    <row r="1332" spans="1:9" s="135" customFormat="1" ht="20.25" customHeight="1">
      <c r="A1332" s="13">
        <v>1</v>
      </c>
      <c r="B1332" s="501">
        <v>2</v>
      </c>
      <c r="C1332" s="502"/>
      <c r="D1332" s="12">
        <v>3</v>
      </c>
      <c r="E1332" s="12">
        <v>4</v>
      </c>
      <c r="F1332" s="12">
        <v>5</v>
      </c>
      <c r="G1332" s="12">
        <v>6</v>
      </c>
      <c r="H1332" s="12">
        <v>7</v>
      </c>
      <c r="I1332" s="13">
        <v>8</v>
      </c>
    </row>
    <row r="1333" spans="1:9" s="135" customFormat="1" ht="20.25" customHeight="1">
      <c r="A1333" s="4">
        <v>111</v>
      </c>
      <c r="B1333" s="504" t="s">
        <v>540</v>
      </c>
      <c r="C1333" s="505"/>
      <c r="D1333" s="25">
        <v>9706.01</v>
      </c>
      <c r="E1333" s="25">
        <v>30000</v>
      </c>
      <c r="F1333" s="25">
        <v>10841.36</v>
      </c>
      <c r="G1333" s="26">
        <f aca="true" t="shared" si="68" ref="G1333:G1338">F1333/D1333</f>
        <v>1.1169739161612238</v>
      </c>
      <c r="H1333" s="27">
        <f aca="true" t="shared" si="69" ref="H1333:H1338">F1333/E1333</f>
        <v>0.3613786666666667</v>
      </c>
      <c r="I1333" s="16">
        <f>F1333/F1338</f>
        <v>0.8214371224818231</v>
      </c>
    </row>
    <row r="1334" spans="1:9" s="135" customFormat="1" ht="20.25" customHeight="1">
      <c r="A1334" s="4">
        <v>130</v>
      </c>
      <c r="B1334" s="504" t="s">
        <v>541</v>
      </c>
      <c r="C1334" s="505"/>
      <c r="D1334" s="234">
        <v>0</v>
      </c>
      <c r="E1334" s="14">
        <v>5000</v>
      </c>
      <c r="F1334" s="14">
        <v>2356.68</v>
      </c>
      <c r="G1334" s="15" t="e">
        <f t="shared" si="68"/>
        <v>#DIV/0!</v>
      </c>
      <c r="H1334" s="16">
        <f t="shared" si="69"/>
        <v>0.471336</v>
      </c>
      <c r="I1334" s="16">
        <f>F1334/F1338</f>
        <v>0.17856287751817693</v>
      </c>
    </row>
    <row r="1335" spans="1:9" s="135" customFormat="1" ht="20.25" customHeight="1">
      <c r="A1335" s="4">
        <v>132</v>
      </c>
      <c r="B1335" s="504" t="s">
        <v>542</v>
      </c>
      <c r="C1335" s="505"/>
      <c r="D1335" s="238">
        <v>0</v>
      </c>
      <c r="E1335" s="25">
        <v>0</v>
      </c>
      <c r="F1335" s="25">
        <v>0</v>
      </c>
      <c r="G1335" s="15" t="e">
        <f t="shared" si="68"/>
        <v>#DIV/0!</v>
      </c>
      <c r="H1335" s="16" t="e">
        <f t="shared" si="69"/>
        <v>#DIV/0!</v>
      </c>
      <c r="I1335" s="27">
        <f>F1335/F1338</f>
        <v>0</v>
      </c>
    </row>
    <row r="1336" spans="1:9" s="135" customFormat="1" ht="20.25" customHeight="1">
      <c r="A1336" s="4">
        <v>200</v>
      </c>
      <c r="B1336" s="507" t="s">
        <v>543</v>
      </c>
      <c r="C1336" s="508"/>
      <c r="D1336" s="54">
        <v>0</v>
      </c>
      <c r="E1336" s="25">
        <v>0</v>
      </c>
      <c r="F1336" s="25">
        <v>0</v>
      </c>
      <c r="G1336" s="15" t="e">
        <f t="shared" si="68"/>
        <v>#DIV/0!</v>
      </c>
      <c r="H1336" s="16" t="e">
        <f t="shared" si="69"/>
        <v>#DIV/0!</v>
      </c>
      <c r="I1336" s="16">
        <f>F1336/F1338</f>
        <v>0</v>
      </c>
    </row>
    <row r="1337" spans="1:9" s="135" customFormat="1" ht="20.25" customHeight="1">
      <c r="A1337" s="4">
        <v>300</v>
      </c>
      <c r="B1337" s="504" t="s">
        <v>544</v>
      </c>
      <c r="C1337" s="505"/>
      <c r="D1337" s="25">
        <v>0</v>
      </c>
      <c r="E1337" s="25">
        <v>0</v>
      </c>
      <c r="F1337" s="25">
        <v>0</v>
      </c>
      <c r="G1337" s="15" t="e">
        <f t="shared" si="68"/>
        <v>#DIV/0!</v>
      </c>
      <c r="H1337" s="16" t="e">
        <f t="shared" si="69"/>
        <v>#DIV/0!</v>
      </c>
      <c r="I1337" s="27">
        <f>F1337/F1338</f>
        <v>0</v>
      </c>
    </row>
    <row r="1338" spans="1:9" s="135" customFormat="1" ht="30" customHeight="1">
      <c r="A1338" s="17"/>
      <c r="B1338" s="583" t="s">
        <v>95</v>
      </c>
      <c r="C1338" s="584"/>
      <c r="D1338" s="279">
        <f>D1333+D1334+D1335+D1336+D1337</f>
        <v>9706.01</v>
      </c>
      <c r="E1338" s="211">
        <f>E1333+E1334+E1335+E1336+E1337</f>
        <v>35000</v>
      </c>
      <c r="F1338" s="211">
        <f>F1333+F1334+F1335+F1336+F1337</f>
        <v>13198.04</v>
      </c>
      <c r="G1338" s="212">
        <f t="shared" si="68"/>
        <v>1.3597801774364544</v>
      </c>
      <c r="H1338" s="213">
        <f t="shared" si="69"/>
        <v>0.37708685714285717</v>
      </c>
      <c r="I1338" s="213">
        <f>SUM(I1333:I1337)</f>
        <v>1</v>
      </c>
    </row>
    <row r="1339" spans="1:8" s="135" customFormat="1" ht="20.25" customHeight="1">
      <c r="A1339" s="49"/>
      <c r="B1339" s="49"/>
      <c r="C1339" s="49"/>
      <c r="D1339" s="49"/>
      <c r="E1339" s="208"/>
      <c r="F1339" s="49"/>
      <c r="G1339" s="49"/>
      <c r="H1339" s="40"/>
    </row>
    <row r="1340" spans="1:9" s="135" customFormat="1" ht="20.25" customHeight="1">
      <c r="A1340" s="503" t="s">
        <v>58</v>
      </c>
      <c r="B1340" s="503"/>
      <c r="C1340" s="503"/>
      <c r="D1340" s="503"/>
      <c r="E1340" s="503"/>
      <c r="F1340" s="503"/>
      <c r="G1340" s="503"/>
      <c r="H1340" s="503"/>
      <c r="I1340" s="503"/>
    </row>
    <row r="1341" spans="1:9" s="135" customFormat="1" ht="20.25" customHeight="1">
      <c r="A1341" s="486" t="s">
        <v>59</v>
      </c>
      <c r="B1341" s="486"/>
      <c r="C1341" s="486"/>
      <c r="D1341" s="486"/>
      <c r="E1341" s="486"/>
      <c r="F1341" s="486"/>
      <c r="G1341" s="486"/>
      <c r="H1341" s="486"/>
      <c r="I1341" s="486"/>
    </row>
    <row r="1342" spans="1:9" s="135" customFormat="1" ht="20.25" customHeight="1">
      <c r="A1342" s="486" t="s">
        <v>60</v>
      </c>
      <c r="B1342" s="486"/>
      <c r="C1342" s="486"/>
      <c r="D1342" s="486"/>
      <c r="E1342" s="486"/>
      <c r="F1342" s="486"/>
      <c r="G1342" s="486"/>
      <c r="H1342" s="486"/>
      <c r="I1342" s="486"/>
    </row>
    <row r="1343" spans="1:9" s="135" customFormat="1" ht="20.25" customHeight="1">
      <c r="A1343" s="486" t="s">
        <v>61</v>
      </c>
      <c r="B1343" s="486"/>
      <c r="C1343" s="486"/>
      <c r="D1343" s="486"/>
      <c r="E1343" s="486"/>
      <c r="F1343" s="486"/>
      <c r="G1343" s="486"/>
      <c r="H1343" s="486"/>
      <c r="I1343" s="486"/>
    </row>
    <row r="1344" spans="1:9" s="135" customFormat="1" ht="20.25" customHeight="1">
      <c r="A1344" s="273"/>
      <c r="B1344" s="273"/>
      <c r="C1344" s="273"/>
      <c r="D1344" s="273"/>
      <c r="E1344" s="273"/>
      <c r="F1344" s="273"/>
      <c r="G1344" s="273"/>
      <c r="H1344" s="273"/>
      <c r="I1344" s="273"/>
    </row>
    <row r="1345" spans="1:9" s="135" customFormat="1" ht="27" customHeight="1">
      <c r="A1345" s="273"/>
      <c r="B1345" s="605" t="s">
        <v>992</v>
      </c>
      <c r="C1345" s="605"/>
      <c r="D1345" s="605"/>
      <c r="E1345" s="273"/>
      <c r="F1345" s="273"/>
      <c r="G1345" s="273"/>
      <c r="H1345" s="273"/>
      <c r="I1345" s="273"/>
    </row>
    <row r="1346" spans="1:9" s="135" customFormat="1" ht="27" customHeight="1">
      <c r="A1346" s="273"/>
      <c r="B1346" s="297"/>
      <c r="C1346" s="297"/>
      <c r="D1346" s="297"/>
      <c r="E1346" s="273"/>
      <c r="F1346" s="273"/>
      <c r="G1346" s="273"/>
      <c r="H1346" s="273"/>
      <c r="I1346" s="273"/>
    </row>
    <row r="1347" spans="1:9" s="135" customFormat="1" ht="27" customHeight="1">
      <c r="A1347" s="273"/>
      <c r="B1347" s="297"/>
      <c r="C1347" s="297"/>
      <c r="D1347" s="297"/>
      <c r="E1347" s="273"/>
      <c r="F1347" s="273"/>
      <c r="G1347" s="273"/>
      <c r="H1347" s="273"/>
      <c r="I1347" s="273"/>
    </row>
    <row r="1348" spans="1:9" s="135" customFormat="1" ht="20.25" customHeight="1">
      <c r="A1348" s="273"/>
      <c r="B1348" s="273"/>
      <c r="C1348" s="273"/>
      <c r="D1348" s="273"/>
      <c r="E1348" s="273"/>
      <c r="F1348" s="273"/>
      <c r="G1348" s="273"/>
      <c r="H1348" s="273"/>
      <c r="I1348" s="273"/>
    </row>
    <row r="1349" spans="1:9" s="135" customFormat="1" ht="20.25" customHeight="1">
      <c r="A1349" s="273"/>
      <c r="B1349" s="273"/>
      <c r="C1349" s="273"/>
      <c r="D1349" s="273"/>
      <c r="E1349" s="273"/>
      <c r="F1349" s="273"/>
      <c r="G1349" s="273"/>
      <c r="H1349" s="273"/>
      <c r="I1349" s="273"/>
    </row>
    <row r="1350" spans="1:9" s="135" customFormat="1" ht="20.25" customHeight="1">
      <c r="A1350" s="273"/>
      <c r="B1350" s="273"/>
      <c r="C1350" s="273"/>
      <c r="D1350" s="273"/>
      <c r="E1350" s="273"/>
      <c r="F1350" s="273"/>
      <c r="G1350" s="273"/>
      <c r="H1350" s="273"/>
      <c r="I1350" s="273"/>
    </row>
    <row r="1351" spans="1:9" s="135" customFormat="1" ht="30" customHeight="1">
      <c r="A1351" s="273"/>
      <c r="E1351" s="273"/>
      <c r="F1351" s="273"/>
      <c r="G1351" s="273"/>
      <c r="H1351" s="273"/>
      <c r="I1351" s="273"/>
    </row>
    <row r="1352" spans="1:9" s="135" customFormat="1" ht="20.25" customHeight="1">
      <c r="A1352" s="273"/>
      <c r="B1352" s="273"/>
      <c r="C1352" s="273"/>
      <c r="D1352" s="273"/>
      <c r="E1352" s="273"/>
      <c r="F1352" s="273"/>
      <c r="G1352" s="273"/>
      <c r="H1352" s="273"/>
      <c r="I1352" s="273"/>
    </row>
    <row r="1353" spans="1:9" s="135" customFormat="1" ht="20.25" customHeight="1">
      <c r="A1353" s="273"/>
      <c r="B1353" s="273"/>
      <c r="C1353" s="273"/>
      <c r="D1353" s="273"/>
      <c r="E1353" s="273"/>
      <c r="F1353" s="273"/>
      <c r="G1353" s="273"/>
      <c r="H1353" s="273"/>
      <c r="I1353" s="273"/>
    </row>
    <row r="1354" spans="1:9" s="135" customFormat="1" ht="26.25" customHeight="1">
      <c r="A1354" s="273"/>
      <c r="B1354" s="605" t="s">
        <v>993</v>
      </c>
      <c r="C1354" s="605"/>
      <c r="D1354" s="605"/>
      <c r="E1354" s="605"/>
      <c r="F1354" s="273"/>
      <c r="G1354" s="273"/>
      <c r="H1354" s="273"/>
      <c r="I1354" s="273"/>
    </row>
    <row r="1355" spans="1:9" s="135" customFormat="1" ht="20.25" customHeight="1">
      <c r="A1355" s="273"/>
      <c r="B1355" s="273"/>
      <c r="C1355" s="273"/>
      <c r="D1355" s="273"/>
      <c r="E1355" s="273"/>
      <c r="F1355" s="273"/>
      <c r="G1355" s="273"/>
      <c r="H1355" s="273"/>
      <c r="I1355" s="273"/>
    </row>
    <row r="1356" spans="1:9" s="135" customFormat="1" ht="20.25" customHeight="1">
      <c r="A1356" s="273"/>
      <c r="B1356" s="273"/>
      <c r="C1356" s="273"/>
      <c r="D1356" s="273"/>
      <c r="E1356" s="273"/>
      <c r="F1356" s="273"/>
      <c r="G1356" s="273"/>
      <c r="H1356" s="273"/>
      <c r="I1356"/>
    </row>
    <row r="1357" spans="1:8" s="135" customFormat="1" ht="20.25" customHeight="1">
      <c r="A1357"/>
      <c r="B1357"/>
      <c r="C1357"/>
      <c r="D1357"/>
      <c r="E1357"/>
      <c r="F1357"/>
      <c r="G1357"/>
      <c r="H1357"/>
    </row>
    <row r="1358" s="135" customFormat="1" ht="25.5" customHeight="1"/>
    <row r="1359" s="135" customFormat="1" ht="20.25" customHeight="1"/>
    <row r="1360" s="135" customFormat="1" ht="20.25" customHeight="1"/>
    <row r="1361" s="135" customFormat="1" ht="20.25" customHeight="1">
      <c r="I1361" s="441"/>
    </row>
    <row r="1362" s="135" customFormat="1" ht="20.25" customHeight="1">
      <c r="I1362" s="441">
        <v>20</v>
      </c>
    </row>
    <row r="1363" s="135" customFormat="1" ht="20.25" customHeight="1"/>
    <row r="1364" s="135" customFormat="1" ht="20.25" customHeight="1"/>
    <row r="1365" s="135" customFormat="1" ht="20.25" customHeight="1"/>
    <row r="1366" s="135" customFormat="1" ht="20.25" customHeight="1">
      <c r="I1366" s="272"/>
    </row>
    <row r="1367" spans="1:9" s="135" customFormat="1" ht="27" customHeight="1">
      <c r="A1367" s="608" t="s">
        <v>587</v>
      </c>
      <c r="B1367" s="608"/>
      <c r="C1367" s="608"/>
      <c r="D1367" s="608"/>
      <c r="E1367" s="608"/>
      <c r="I1367" s="272"/>
    </row>
    <row r="1368" spans="1:9" s="135" customFormat="1" ht="27" customHeight="1">
      <c r="A1368" s="278"/>
      <c r="B1368" s="278"/>
      <c r="C1368" s="278"/>
      <c r="D1368" s="278"/>
      <c r="E1368" s="278"/>
      <c r="I1368" s="272"/>
    </row>
    <row r="1369" spans="1:9" s="135" customFormat="1" ht="20.25" customHeight="1">
      <c r="A1369" s="278"/>
      <c r="B1369" s="278"/>
      <c r="C1369" s="278"/>
      <c r="D1369" s="278"/>
      <c r="E1369" s="278"/>
      <c r="I1369" s="272"/>
    </row>
    <row r="1370" s="135" customFormat="1" ht="20.25" customHeight="1">
      <c r="I1370" s="272"/>
    </row>
    <row r="1371" spans="2:9" s="135" customFormat="1" ht="20.25" customHeight="1">
      <c r="B1371" s="518" t="s">
        <v>62</v>
      </c>
      <c r="C1371" s="518"/>
      <c r="D1371" s="518"/>
      <c r="E1371" s="518"/>
      <c r="F1371" s="518"/>
      <c r="G1371" s="518"/>
      <c r="H1371" s="518"/>
      <c r="I1371" s="518"/>
    </row>
    <row r="1372" spans="1:9" s="135" customFormat="1" ht="20.25" customHeight="1">
      <c r="A1372" s="518" t="s">
        <v>63</v>
      </c>
      <c r="B1372" s="518"/>
      <c r="C1372" s="518"/>
      <c r="D1372" s="518"/>
      <c r="E1372" s="518"/>
      <c r="F1372" s="518"/>
      <c r="G1372" s="518"/>
      <c r="H1372" s="518"/>
      <c r="I1372" s="518"/>
    </row>
    <row r="1373" spans="1:9" s="135" customFormat="1" ht="20.25" customHeight="1">
      <c r="A1373" s="518"/>
      <c r="B1373" s="518"/>
      <c r="C1373" s="518"/>
      <c r="D1373" s="518"/>
      <c r="E1373" s="518"/>
      <c r="F1373" s="518"/>
      <c r="G1373" s="518"/>
      <c r="H1373" s="518"/>
      <c r="I1373" s="518"/>
    </row>
    <row r="1374" spans="2:9" s="135" customFormat="1" ht="20.25" customHeight="1">
      <c r="B1374" s="141"/>
      <c r="C1374" s="141"/>
      <c r="D1374" s="517" t="s">
        <v>682</v>
      </c>
      <c r="E1374" s="517"/>
      <c r="F1374" s="517"/>
      <c r="G1374" s="141"/>
      <c r="H1374" s="141"/>
      <c r="I1374" s="141"/>
    </row>
    <row r="1375" spans="1:8" s="135" customFormat="1" ht="20.25" customHeight="1">
      <c r="A1375" s="40"/>
      <c r="B1375" s="40"/>
      <c r="C1375" s="40"/>
      <c r="D1375" s="40"/>
      <c r="E1375" s="40"/>
      <c r="F1375" s="40"/>
      <c r="G1375" s="40"/>
      <c r="H1375" s="40"/>
    </row>
    <row r="1376" spans="1:9" s="135" customFormat="1" ht="20.25" customHeight="1">
      <c r="A1376" s="22" t="s">
        <v>683</v>
      </c>
      <c r="B1376" s="491" t="s">
        <v>688</v>
      </c>
      <c r="C1376" s="492"/>
      <c r="D1376" s="5" t="s">
        <v>686</v>
      </c>
      <c r="E1376" s="5" t="s">
        <v>712</v>
      </c>
      <c r="F1376" s="5" t="s">
        <v>686</v>
      </c>
      <c r="G1376" s="510" t="s">
        <v>713</v>
      </c>
      <c r="H1376" s="511"/>
      <c r="I1376" s="6" t="s">
        <v>714</v>
      </c>
    </row>
    <row r="1377" spans="1:9" s="135" customFormat="1" ht="20.25" customHeight="1">
      <c r="A1377" s="23" t="s">
        <v>97</v>
      </c>
      <c r="B1377" s="493"/>
      <c r="C1377" s="494"/>
      <c r="D1377" s="7" t="s">
        <v>656</v>
      </c>
      <c r="E1377" s="7" t="s">
        <v>715</v>
      </c>
      <c r="F1377" s="7" t="s">
        <v>657</v>
      </c>
      <c r="G1377" s="8" t="s">
        <v>706</v>
      </c>
      <c r="H1377" s="9" t="s">
        <v>707</v>
      </c>
      <c r="I1377" s="10" t="s">
        <v>717</v>
      </c>
    </row>
    <row r="1378" spans="1:9" s="135" customFormat="1" ht="20.25" customHeight="1">
      <c r="A1378" s="13">
        <v>1</v>
      </c>
      <c r="B1378" s="501">
        <v>2</v>
      </c>
      <c r="C1378" s="502"/>
      <c r="D1378" s="12">
        <v>3</v>
      </c>
      <c r="E1378" s="12">
        <v>4</v>
      </c>
      <c r="F1378" s="12">
        <v>5</v>
      </c>
      <c r="G1378" s="12">
        <v>6</v>
      </c>
      <c r="H1378" s="12">
        <v>7</v>
      </c>
      <c r="I1378" s="13">
        <v>8</v>
      </c>
    </row>
    <row r="1379" spans="1:9" s="135" customFormat="1" ht="20.25" customHeight="1">
      <c r="A1379" s="4">
        <v>111</v>
      </c>
      <c r="B1379" s="504" t="s">
        <v>540</v>
      </c>
      <c r="C1379" s="505"/>
      <c r="D1379" s="25">
        <v>56501.25</v>
      </c>
      <c r="E1379" s="25">
        <v>138590</v>
      </c>
      <c r="F1379" s="25">
        <v>58295.5</v>
      </c>
      <c r="G1379" s="26">
        <f aca="true" t="shared" si="70" ref="G1379:G1384">F1379/D1379</f>
        <v>1.0317559346032168</v>
      </c>
      <c r="H1379" s="27">
        <f aca="true" t="shared" si="71" ref="H1379:H1384">F1379/E1379</f>
        <v>0.4206328017894509</v>
      </c>
      <c r="I1379" s="16">
        <f>F1379/F1384</f>
        <v>0.9647667459116301</v>
      </c>
    </row>
    <row r="1380" spans="1:9" s="135" customFormat="1" ht="20.25" customHeight="1">
      <c r="A1380" s="4">
        <v>130</v>
      </c>
      <c r="B1380" s="504" t="s">
        <v>541</v>
      </c>
      <c r="C1380" s="505"/>
      <c r="D1380" s="234">
        <v>0</v>
      </c>
      <c r="E1380" s="14">
        <v>5000</v>
      </c>
      <c r="F1380" s="14">
        <v>2128.95</v>
      </c>
      <c r="G1380" s="15" t="e">
        <f t="shared" si="70"/>
        <v>#DIV/0!</v>
      </c>
      <c r="H1380" s="16">
        <f t="shared" si="71"/>
        <v>0.42578999999999995</v>
      </c>
      <c r="I1380" s="16">
        <f>F1380/F1384</f>
        <v>0.03523325408836986</v>
      </c>
    </row>
    <row r="1381" spans="1:9" s="135" customFormat="1" ht="20.25" customHeight="1">
      <c r="A1381" s="4">
        <v>132</v>
      </c>
      <c r="B1381" s="504" t="s">
        <v>542</v>
      </c>
      <c r="C1381" s="505"/>
      <c r="D1381" s="238">
        <v>0</v>
      </c>
      <c r="E1381" s="25">
        <v>0</v>
      </c>
      <c r="F1381" s="25">
        <v>0</v>
      </c>
      <c r="G1381" s="15" t="e">
        <f t="shared" si="70"/>
        <v>#DIV/0!</v>
      </c>
      <c r="H1381" s="16" t="e">
        <f t="shared" si="71"/>
        <v>#DIV/0!</v>
      </c>
      <c r="I1381" s="27">
        <f>F1381/F1384</f>
        <v>0</v>
      </c>
    </row>
    <row r="1382" spans="1:9" s="135" customFormat="1" ht="20.25" customHeight="1">
      <c r="A1382" s="4">
        <v>200</v>
      </c>
      <c r="B1382" s="507" t="s">
        <v>543</v>
      </c>
      <c r="C1382" s="508"/>
      <c r="D1382" s="54">
        <v>0</v>
      </c>
      <c r="E1382" s="25">
        <v>0</v>
      </c>
      <c r="F1382" s="25">
        <v>0</v>
      </c>
      <c r="G1382" s="15" t="e">
        <f t="shared" si="70"/>
        <v>#DIV/0!</v>
      </c>
      <c r="H1382" s="16" t="e">
        <f t="shared" si="71"/>
        <v>#DIV/0!</v>
      </c>
      <c r="I1382" s="16">
        <f>F1382/F1384</f>
        <v>0</v>
      </c>
    </row>
    <row r="1383" spans="1:9" s="135" customFormat="1" ht="20.25" customHeight="1">
      <c r="A1383" s="4">
        <v>300</v>
      </c>
      <c r="B1383" s="504" t="s">
        <v>544</v>
      </c>
      <c r="C1383" s="505"/>
      <c r="D1383" s="25">
        <v>0</v>
      </c>
      <c r="E1383" s="25">
        <v>0</v>
      </c>
      <c r="F1383" s="25">
        <v>0</v>
      </c>
      <c r="G1383" s="15" t="e">
        <f t="shared" si="70"/>
        <v>#DIV/0!</v>
      </c>
      <c r="H1383" s="16" t="e">
        <f t="shared" si="71"/>
        <v>#DIV/0!</v>
      </c>
      <c r="I1383" s="27">
        <f>F1383/F1384</f>
        <v>0</v>
      </c>
    </row>
    <row r="1384" spans="1:9" s="135" customFormat="1" ht="30" customHeight="1">
      <c r="A1384" s="17"/>
      <c r="B1384" s="583" t="s">
        <v>95</v>
      </c>
      <c r="C1384" s="584"/>
      <c r="D1384" s="279">
        <f>D1379+D1380+D1381+D1382+D1383</f>
        <v>56501.25</v>
      </c>
      <c r="E1384" s="211">
        <f>E1379+E1380+E1381+E1382+E1383</f>
        <v>143590</v>
      </c>
      <c r="F1384" s="211">
        <f>F1379+F1380+F1381+F1382+F1383</f>
        <v>60424.45</v>
      </c>
      <c r="G1384" s="212">
        <f t="shared" si="70"/>
        <v>1.069435631955045</v>
      </c>
      <c r="H1384" s="213">
        <f t="shared" si="71"/>
        <v>0.42081238247788844</v>
      </c>
      <c r="I1384" s="213">
        <f>SUM(I1379:I1383)</f>
        <v>1</v>
      </c>
    </row>
    <row r="1385" spans="1:8" s="135" customFormat="1" ht="20.25" customHeight="1">
      <c r="A1385" s="49"/>
      <c r="B1385" s="49"/>
      <c r="C1385" s="49"/>
      <c r="D1385" s="49"/>
      <c r="E1385" s="208"/>
      <c r="F1385" s="49"/>
      <c r="G1385" s="49"/>
      <c r="H1385" s="40"/>
    </row>
    <row r="1386" spans="1:9" s="135" customFormat="1" ht="20.25" customHeight="1">
      <c r="A1386" s="503" t="s">
        <v>64</v>
      </c>
      <c r="B1386" s="503"/>
      <c r="C1386" s="503"/>
      <c r="D1386" s="503"/>
      <c r="E1386" s="503"/>
      <c r="F1386" s="503"/>
      <c r="G1386" s="503"/>
      <c r="H1386" s="503"/>
      <c r="I1386" s="503"/>
    </row>
    <row r="1387" spans="1:9" s="135" customFormat="1" ht="20.25" customHeight="1">
      <c r="A1387" s="486" t="s">
        <v>65</v>
      </c>
      <c r="B1387" s="486"/>
      <c r="C1387" s="486"/>
      <c r="D1387" s="486"/>
      <c r="E1387" s="486"/>
      <c r="F1387" s="486"/>
      <c r="G1387" s="486"/>
      <c r="H1387" s="486"/>
      <c r="I1387" s="486"/>
    </row>
    <row r="1388" spans="1:9" s="135" customFormat="1" ht="20.25" customHeight="1">
      <c r="A1388" s="486" t="s">
        <v>338</v>
      </c>
      <c r="B1388" s="486"/>
      <c r="C1388" s="486"/>
      <c r="D1388" s="486"/>
      <c r="E1388" s="486"/>
      <c r="F1388" s="486"/>
      <c r="G1388" s="486"/>
      <c r="H1388" s="486"/>
      <c r="I1388" s="486"/>
    </row>
    <row r="1389" spans="1:9" s="135" customFormat="1" ht="20.25" customHeight="1">
      <c r="A1389" s="486" t="s">
        <v>339</v>
      </c>
      <c r="B1389" s="486"/>
      <c r="C1389" s="486"/>
      <c r="D1389" s="486"/>
      <c r="E1389" s="486"/>
      <c r="F1389" s="486"/>
      <c r="G1389" s="486"/>
      <c r="H1389" s="486"/>
      <c r="I1389" s="486"/>
    </row>
    <row r="1390" spans="1:9" s="135" customFormat="1" ht="20.25" customHeight="1">
      <c r="A1390" s="273"/>
      <c r="B1390" s="273"/>
      <c r="C1390" s="273"/>
      <c r="D1390" s="273"/>
      <c r="E1390" s="273"/>
      <c r="F1390" s="273"/>
      <c r="G1390" s="273"/>
      <c r="H1390" s="273"/>
      <c r="I1390" s="273"/>
    </row>
    <row r="1391" spans="1:9" s="135" customFormat="1" ht="20.25" customHeight="1">
      <c r="A1391" s="273"/>
      <c r="E1391" s="273"/>
      <c r="F1391" s="273"/>
      <c r="G1391" s="273"/>
      <c r="H1391" s="273"/>
      <c r="I1391" s="273"/>
    </row>
    <row r="1392" spans="1:9" s="135" customFormat="1" ht="20.25" customHeight="1">
      <c r="A1392" s="273"/>
      <c r="B1392" s="273"/>
      <c r="C1392" s="273"/>
      <c r="D1392" s="273"/>
      <c r="E1392" s="273"/>
      <c r="F1392" s="273"/>
      <c r="G1392" s="273"/>
      <c r="H1392" s="273"/>
      <c r="I1392" s="273"/>
    </row>
    <row r="1393" spans="1:9" s="135" customFormat="1" ht="20.25" customHeight="1">
      <c r="A1393" s="273"/>
      <c r="B1393" s="273"/>
      <c r="C1393" s="273"/>
      <c r="D1393" s="273"/>
      <c r="E1393" s="273"/>
      <c r="F1393" s="273"/>
      <c r="G1393" s="273"/>
      <c r="H1393" s="273"/>
      <c r="I1393" s="273"/>
    </row>
    <row r="1394" spans="1:9" s="135" customFormat="1" ht="20.25" customHeight="1">
      <c r="A1394" s="273"/>
      <c r="B1394" s="273"/>
      <c r="C1394" s="273"/>
      <c r="D1394" s="273"/>
      <c r="E1394" s="273"/>
      <c r="F1394" s="273"/>
      <c r="G1394" s="273"/>
      <c r="H1394" s="273"/>
      <c r="I1394" s="273"/>
    </row>
    <row r="1395" spans="1:9" s="135" customFormat="1" ht="27" customHeight="1">
      <c r="A1395" s="273"/>
      <c r="B1395" s="605" t="s">
        <v>992</v>
      </c>
      <c r="C1395" s="605"/>
      <c r="D1395" s="605"/>
      <c r="E1395" s="273"/>
      <c r="F1395" s="273"/>
      <c r="G1395" s="273"/>
      <c r="H1395" s="273"/>
      <c r="I1395" s="273"/>
    </row>
    <row r="1396" spans="1:9" s="135" customFormat="1" ht="20.25" customHeight="1">
      <c r="A1396" s="273"/>
      <c r="B1396" s="273"/>
      <c r="C1396" s="273"/>
      <c r="D1396" s="273"/>
      <c r="E1396" s="273"/>
      <c r="F1396" s="273"/>
      <c r="G1396" s="273"/>
      <c r="H1396" s="273"/>
      <c r="I1396" s="273"/>
    </row>
    <row r="1397" spans="1:9" s="135" customFormat="1" ht="20.25" customHeight="1">
      <c r="A1397" s="273"/>
      <c r="B1397" s="273"/>
      <c r="C1397" s="273"/>
      <c r="D1397" s="273"/>
      <c r="E1397" s="273"/>
      <c r="F1397" s="273"/>
      <c r="G1397" s="273"/>
      <c r="H1397" s="273"/>
      <c r="I1397" s="273"/>
    </row>
    <row r="1398" spans="1:9" s="135" customFormat="1" ht="20.25" customHeight="1">
      <c r="A1398" s="273"/>
      <c r="B1398" s="273"/>
      <c r="C1398" s="273"/>
      <c r="D1398" s="273"/>
      <c r="E1398" s="273"/>
      <c r="F1398" s="273"/>
      <c r="G1398" s="273"/>
      <c r="H1398" s="273"/>
      <c r="I1398" s="273"/>
    </row>
    <row r="1399" spans="1:9" s="135" customFormat="1" ht="20.25" customHeight="1">
      <c r="A1399" s="273"/>
      <c r="B1399" s="273"/>
      <c r="C1399" s="273"/>
      <c r="D1399" s="273"/>
      <c r="E1399" s="273"/>
      <c r="F1399" s="273"/>
      <c r="G1399" s="273"/>
      <c r="H1399" s="273"/>
      <c r="I1399" s="273"/>
    </row>
    <row r="1400" spans="1:9" s="135" customFormat="1" ht="20.25" customHeight="1">
      <c r="A1400" s="273"/>
      <c r="F1400" s="273"/>
      <c r="G1400" s="273"/>
      <c r="H1400" s="273"/>
      <c r="I1400" s="273"/>
    </row>
    <row r="1401" spans="1:9" s="135" customFormat="1" ht="20.25" customHeight="1">
      <c r="A1401" s="273"/>
      <c r="B1401" s="273"/>
      <c r="C1401" s="273"/>
      <c r="D1401" s="273"/>
      <c r="E1401" s="273"/>
      <c r="F1401" s="273"/>
      <c r="G1401" s="273"/>
      <c r="H1401" s="273"/>
      <c r="I1401" s="273"/>
    </row>
    <row r="1402" spans="1:9" s="135" customFormat="1" ht="20.25" customHeight="1">
      <c r="A1402" s="273"/>
      <c r="B1402" s="273"/>
      <c r="C1402" s="273"/>
      <c r="D1402" s="273"/>
      <c r="E1402" s="273"/>
      <c r="F1402" s="273"/>
      <c r="G1402" s="273"/>
      <c r="H1402" s="273"/>
      <c r="I1402" s="273"/>
    </row>
    <row r="1403" spans="1:9" s="135" customFormat="1" ht="20.25" customHeight="1">
      <c r="A1403" s="273"/>
      <c r="B1403" s="273"/>
      <c r="C1403" s="273"/>
      <c r="D1403" s="273"/>
      <c r="E1403" s="273"/>
      <c r="F1403" s="273"/>
      <c r="G1403" s="273"/>
      <c r="H1403" s="273"/>
      <c r="I1403" s="273"/>
    </row>
    <row r="1404" spans="1:9" s="135" customFormat="1" ht="20.25" customHeight="1">
      <c r="A1404" s="273"/>
      <c r="B1404" s="273"/>
      <c r="C1404" s="273"/>
      <c r="D1404" s="273"/>
      <c r="E1404" s="273"/>
      <c r="F1404" s="273"/>
      <c r="G1404" s="273"/>
      <c r="H1404" s="273"/>
      <c r="I1404" s="273"/>
    </row>
    <row r="1405" spans="1:9" s="135" customFormat="1" ht="20.25" customHeight="1">
      <c r="A1405" s="273"/>
      <c r="B1405" s="273"/>
      <c r="C1405" s="273"/>
      <c r="D1405" s="273"/>
      <c r="E1405" s="273"/>
      <c r="F1405" s="273"/>
      <c r="G1405" s="273"/>
      <c r="H1405" s="273"/>
      <c r="I1405" s="273"/>
    </row>
    <row r="1406" spans="1:9" s="135" customFormat="1" ht="20.25" customHeight="1">
      <c r="A1406" s="273"/>
      <c r="B1406" s="273"/>
      <c r="C1406" s="273"/>
      <c r="D1406" s="273"/>
      <c r="E1406" s="273"/>
      <c r="F1406" s="273"/>
      <c r="G1406" s="273"/>
      <c r="H1406" s="273"/>
      <c r="I1406" s="273"/>
    </row>
    <row r="1407" spans="1:9" s="135" customFormat="1" ht="20.25" customHeight="1">
      <c r="A1407" s="273"/>
      <c r="B1407" s="273"/>
      <c r="C1407" s="273"/>
      <c r="D1407" s="273"/>
      <c r="E1407" s="273"/>
      <c r="F1407" s="273"/>
      <c r="G1407" s="273"/>
      <c r="H1407" s="273"/>
      <c r="I1407"/>
    </row>
    <row r="1408" spans="1:8" s="135" customFormat="1" ht="20.25" customHeight="1">
      <c r="A1408"/>
      <c r="B1408"/>
      <c r="C1408"/>
      <c r="D1408"/>
      <c r="E1408"/>
      <c r="F1408"/>
      <c r="G1408"/>
      <c r="H1408"/>
    </row>
    <row r="1409" spans="2:5" s="135" customFormat="1" ht="27" customHeight="1">
      <c r="B1409" s="605" t="s">
        <v>993</v>
      </c>
      <c r="C1409" s="605"/>
      <c r="D1409" s="605"/>
      <c r="E1409" s="605"/>
    </row>
    <row r="1410" s="135" customFormat="1" ht="20.25" customHeight="1"/>
    <row r="1411" s="135" customFormat="1" ht="20.25" customHeight="1"/>
    <row r="1412" s="135" customFormat="1" ht="20.25" customHeight="1"/>
    <row r="1413" s="135" customFormat="1" ht="20.25" customHeight="1"/>
    <row r="1414" s="135" customFormat="1" ht="20.25" customHeight="1"/>
    <row r="1415" s="135" customFormat="1" ht="20.25" customHeight="1"/>
    <row r="1416" s="135" customFormat="1" ht="20.25" customHeight="1"/>
    <row r="1417" s="135" customFormat="1" ht="20.25" customHeight="1"/>
    <row r="1418" s="135" customFormat="1" ht="20.25" customHeight="1"/>
    <row r="1419" s="135" customFormat="1" ht="20.25" customHeight="1"/>
    <row r="1420" s="135" customFormat="1" ht="20.25" customHeight="1"/>
    <row r="1421" s="135" customFormat="1" ht="20.25" customHeight="1"/>
    <row r="1422" s="135" customFormat="1" ht="20.25" customHeight="1"/>
    <row r="1423" s="135" customFormat="1" ht="20.25" customHeight="1">
      <c r="I1423" s="209"/>
    </row>
    <row r="1424" s="135" customFormat="1" ht="20.25" customHeight="1">
      <c r="I1424" s="441">
        <v>21</v>
      </c>
    </row>
    <row r="1425" s="135" customFormat="1" ht="20.25" customHeight="1"/>
    <row r="1426" s="135" customFormat="1" ht="20.25" customHeight="1">
      <c r="I1426" s="272"/>
    </row>
    <row r="1427" spans="1:9" s="135" customFormat="1" ht="30" customHeight="1">
      <c r="A1427" s="608" t="s">
        <v>973</v>
      </c>
      <c r="B1427" s="608"/>
      <c r="C1427" s="608"/>
      <c r="D1427" s="608"/>
      <c r="E1427" s="608"/>
      <c r="I1427" s="272"/>
    </row>
    <row r="1428" s="135" customFormat="1" ht="20.25" customHeight="1">
      <c r="I1428" s="272"/>
    </row>
    <row r="1429" s="135" customFormat="1" ht="20.25" customHeight="1">
      <c r="I1429" s="272"/>
    </row>
    <row r="1430" spans="2:9" s="135" customFormat="1" ht="20.25" customHeight="1">
      <c r="B1430" s="518" t="s">
        <v>340</v>
      </c>
      <c r="C1430" s="518"/>
      <c r="D1430" s="518"/>
      <c r="E1430" s="518"/>
      <c r="F1430" s="518"/>
      <c r="G1430" s="518"/>
      <c r="H1430" s="518"/>
      <c r="I1430" s="518"/>
    </row>
    <row r="1431" spans="1:9" s="135" customFormat="1" ht="20.25" customHeight="1">
      <c r="A1431" s="518" t="s">
        <v>845</v>
      </c>
      <c r="B1431" s="518"/>
      <c r="C1431" s="518"/>
      <c r="D1431" s="518"/>
      <c r="E1431" s="518"/>
      <c r="F1431" s="518"/>
      <c r="G1431" s="518"/>
      <c r="H1431" s="518"/>
      <c r="I1431" s="518"/>
    </row>
    <row r="1432" spans="1:9" s="135" customFormat="1" ht="20.25" customHeight="1">
      <c r="A1432" s="518" t="s">
        <v>793</v>
      </c>
      <c r="B1432" s="518"/>
      <c r="C1432" s="518"/>
      <c r="D1432" s="518"/>
      <c r="E1432" s="518"/>
      <c r="F1432" s="518"/>
      <c r="G1432" s="518"/>
      <c r="H1432" s="518"/>
      <c r="I1432" s="518"/>
    </row>
    <row r="1433" spans="1:9" s="135" customFormat="1" ht="20.25" customHeight="1">
      <c r="A1433" s="518" t="s">
        <v>974</v>
      </c>
      <c r="B1433" s="518"/>
      <c r="C1433" s="518"/>
      <c r="D1433" s="518"/>
      <c r="E1433" s="518"/>
      <c r="F1433" s="518"/>
      <c r="G1433" s="518"/>
      <c r="H1433" s="518"/>
      <c r="I1433" s="518"/>
    </row>
    <row r="1434" spans="1:9" s="135" customFormat="1" ht="20.25" customHeight="1">
      <c r="A1434" s="280"/>
      <c r="B1434" s="657" t="s">
        <v>1073</v>
      </c>
      <c r="C1434" s="657"/>
      <c r="D1434" s="657"/>
      <c r="E1434" s="657"/>
      <c r="F1434" s="657"/>
      <c r="G1434" s="657"/>
      <c r="H1434" s="657"/>
      <c r="I1434" s="657"/>
    </row>
    <row r="1435" spans="1:8" s="135" customFormat="1" ht="20.25" customHeight="1">
      <c r="A1435" s="40"/>
      <c r="B1435" s="39"/>
      <c r="C1435"/>
      <c r="D1435" s="487" t="s">
        <v>682</v>
      </c>
      <c r="E1435" s="487"/>
      <c r="F1435" s="487"/>
      <c r="G1435" s="40"/>
      <c r="H1435" s="40"/>
    </row>
    <row r="1436" spans="1:8" s="135" customFormat="1" ht="20.25" customHeight="1">
      <c r="A1436" s="40"/>
      <c r="B1436" s="40"/>
      <c r="C1436" s="40"/>
      <c r="D1436" s="40"/>
      <c r="E1436" s="40"/>
      <c r="F1436" s="40"/>
      <c r="G1436" s="40"/>
      <c r="H1436" s="40"/>
    </row>
    <row r="1437" spans="1:9" s="135" customFormat="1" ht="20.25" customHeight="1">
      <c r="A1437" s="612" t="s">
        <v>683</v>
      </c>
      <c r="B1437" s="491" t="s">
        <v>688</v>
      </c>
      <c r="C1437" s="492"/>
      <c r="D1437" s="5" t="s">
        <v>686</v>
      </c>
      <c r="E1437" s="5" t="s">
        <v>712</v>
      </c>
      <c r="F1437" s="5" t="s">
        <v>686</v>
      </c>
      <c r="G1437" s="510" t="s">
        <v>713</v>
      </c>
      <c r="H1437" s="511"/>
      <c r="I1437" s="6" t="s">
        <v>714</v>
      </c>
    </row>
    <row r="1438" spans="1:9" s="135" customFormat="1" ht="20.25" customHeight="1">
      <c r="A1438" s="658"/>
      <c r="B1438" s="493"/>
      <c r="C1438" s="494"/>
      <c r="D1438" s="7" t="s">
        <v>656</v>
      </c>
      <c r="E1438" s="7" t="s">
        <v>715</v>
      </c>
      <c r="F1438" s="7" t="s">
        <v>657</v>
      </c>
      <c r="G1438" s="8" t="s">
        <v>706</v>
      </c>
      <c r="H1438" s="9" t="s">
        <v>707</v>
      </c>
      <c r="I1438" s="10" t="s">
        <v>717</v>
      </c>
    </row>
    <row r="1439" spans="1:9" s="135" customFormat="1" ht="20.25" customHeight="1">
      <c r="A1439" s="28">
        <v>1</v>
      </c>
      <c r="B1439" s="501">
        <v>2</v>
      </c>
      <c r="C1439" s="502"/>
      <c r="D1439" s="12">
        <v>3</v>
      </c>
      <c r="E1439" s="12">
        <v>4</v>
      </c>
      <c r="F1439" s="12">
        <v>5</v>
      </c>
      <c r="G1439" s="12">
        <v>6</v>
      </c>
      <c r="H1439" s="12">
        <v>7</v>
      </c>
      <c r="I1439" s="13">
        <v>8</v>
      </c>
    </row>
    <row r="1440" spans="1:9" s="135" customFormat="1" ht="20.25" customHeight="1">
      <c r="A1440" s="4">
        <v>40110</v>
      </c>
      <c r="B1440" s="504" t="s">
        <v>696</v>
      </c>
      <c r="C1440" s="505"/>
      <c r="D1440" s="25">
        <v>343703.14</v>
      </c>
      <c r="E1440" s="25">
        <v>650000</v>
      </c>
      <c r="F1440" s="25">
        <v>394262.98</v>
      </c>
      <c r="G1440" s="26">
        <f aca="true" t="shared" si="72" ref="G1440:G1448">F1440/D1440</f>
        <v>1.1471032240205894</v>
      </c>
      <c r="H1440" s="27">
        <f aca="true" t="shared" si="73" ref="H1440:H1448">F1440/E1440</f>
        <v>0.6065584307692308</v>
      </c>
      <c r="I1440" s="16">
        <f>F1440/F1448</f>
        <v>0.6557797669136874</v>
      </c>
    </row>
    <row r="1441" spans="1:9" s="135" customFormat="1" ht="20.25" customHeight="1">
      <c r="A1441" s="188">
        <v>50001</v>
      </c>
      <c r="B1441" s="610" t="s">
        <v>903</v>
      </c>
      <c r="C1441" s="656"/>
      <c r="D1441" s="300">
        <v>73430</v>
      </c>
      <c r="E1441" s="290">
        <v>145000</v>
      </c>
      <c r="F1441" s="14">
        <v>71701</v>
      </c>
      <c r="G1441" s="26">
        <f t="shared" si="72"/>
        <v>0.9764537654909438</v>
      </c>
      <c r="H1441" s="27">
        <f t="shared" si="73"/>
        <v>0.4944896551724138</v>
      </c>
      <c r="I1441" s="16">
        <f>F1441/F1448</f>
        <v>0.11926066471540978</v>
      </c>
    </row>
    <row r="1442" spans="1:9" s="135" customFormat="1" ht="20.25" customHeight="1">
      <c r="A1442" s="188">
        <v>50017</v>
      </c>
      <c r="B1442" s="610" t="s">
        <v>721</v>
      </c>
      <c r="C1442" s="656"/>
      <c r="D1442" s="300">
        <v>104</v>
      </c>
      <c r="E1442" s="290">
        <v>600</v>
      </c>
      <c r="F1442" s="14">
        <v>200</v>
      </c>
      <c r="G1442" s="15">
        <f>F1442/D1442</f>
        <v>1.9230769230769231</v>
      </c>
      <c r="H1442" s="16">
        <f>F1442/E1442</f>
        <v>0.3333333333333333</v>
      </c>
      <c r="I1442" s="16">
        <f>F1442/F1448</f>
        <v>0.0003326610917990259</v>
      </c>
    </row>
    <row r="1443" spans="1:9" s="135" customFormat="1" ht="20.25" customHeight="1">
      <c r="A1443" s="188">
        <v>50019</v>
      </c>
      <c r="B1443" s="610" t="s">
        <v>722</v>
      </c>
      <c r="C1443" s="611"/>
      <c r="D1443" s="300">
        <v>0</v>
      </c>
      <c r="E1443" s="290">
        <v>0</v>
      </c>
      <c r="F1443" s="14">
        <v>0</v>
      </c>
      <c r="G1443" s="15" t="e">
        <f t="shared" si="72"/>
        <v>#DIV/0!</v>
      </c>
      <c r="H1443" s="16" t="e">
        <f t="shared" si="73"/>
        <v>#DIV/0!</v>
      </c>
      <c r="I1443" s="16">
        <f>F1443/F1448</f>
        <v>0</v>
      </c>
    </row>
    <row r="1444" spans="1:9" s="135" customFormat="1" ht="20.25" customHeight="1">
      <c r="A1444" s="4">
        <v>50290</v>
      </c>
      <c r="B1444" s="610" t="s">
        <v>697</v>
      </c>
      <c r="C1444" s="656"/>
      <c r="D1444" s="25">
        <v>93606.7</v>
      </c>
      <c r="E1444" s="25">
        <v>180000</v>
      </c>
      <c r="F1444" s="25">
        <v>93303.5</v>
      </c>
      <c r="G1444" s="15">
        <f t="shared" si="72"/>
        <v>0.9967609156182197</v>
      </c>
      <c r="H1444" s="16">
        <f t="shared" si="73"/>
        <v>0.5183527777777778</v>
      </c>
      <c r="I1444" s="16">
        <f>F1444/F1448</f>
        <v>0.15519222089335205</v>
      </c>
    </row>
    <row r="1445" spans="1:9" s="135" customFormat="1" ht="20.25" customHeight="1">
      <c r="A1445" s="4">
        <v>50413</v>
      </c>
      <c r="B1445" s="610" t="s">
        <v>723</v>
      </c>
      <c r="C1445" s="611"/>
      <c r="D1445" s="25">
        <v>0</v>
      </c>
      <c r="E1445" s="25">
        <v>0</v>
      </c>
      <c r="F1445" s="25">
        <v>0</v>
      </c>
      <c r="G1445" s="15" t="e">
        <f>F1445/D1445</f>
        <v>#DIV/0!</v>
      </c>
      <c r="H1445" s="16" t="e">
        <f>F1445/E1445</f>
        <v>#DIV/0!</v>
      </c>
      <c r="I1445" s="16">
        <f>F1445/F1448</f>
        <v>0</v>
      </c>
    </row>
    <row r="1446" spans="1:9" s="135" customFormat="1" ht="20.25" customHeight="1">
      <c r="A1446" s="4">
        <v>50101</v>
      </c>
      <c r="B1446" s="610" t="s">
        <v>513</v>
      </c>
      <c r="C1446" s="611"/>
      <c r="D1446" s="25">
        <v>65461</v>
      </c>
      <c r="E1446" s="25">
        <v>194750</v>
      </c>
      <c r="F1446" s="25">
        <v>41745</v>
      </c>
      <c r="G1446" s="15">
        <f>F1446/D1446</f>
        <v>0.6377079482439926</v>
      </c>
      <c r="H1446" s="16">
        <f>F1446/E1446</f>
        <v>0.21435173299101412</v>
      </c>
      <c r="I1446" s="16">
        <f>F1446/F1448</f>
        <v>0.06943468638575168</v>
      </c>
    </row>
    <row r="1447" spans="1:9" s="135" customFormat="1" ht="20.25" customHeight="1">
      <c r="A1447" s="4"/>
      <c r="B1447" s="504" t="s">
        <v>921</v>
      </c>
      <c r="C1447" s="505"/>
      <c r="D1447" s="25">
        <v>1000</v>
      </c>
      <c r="E1447" s="25">
        <v>0</v>
      </c>
      <c r="F1447" s="25">
        <v>0</v>
      </c>
      <c r="G1447" s="15">
        <f t="shared" si="72"/>
        <v>0</v>
      </c>
      <c r="H1447" s="16" t="e">
        <f t="shared" si="73"/>
        <v>#DIV/0!</v>
      </c>
      <c r="I1447" s="16">
        <f>F1447/F1448</f>
        <v>0</v>
      </c>
    </row>
    <row r="1448" spans="1:9" s="140" customFormat="1" ht="30" customHeight="1">
      <c r="A1448" s="17"/>
      <c r="B1448" s="661" t="s">
        <v>919</v>
      </c>
      <c r="C1448" s="662"/>
      <c r="D1448" s="424">
        <f>D1440+D1441+D1442+D1443+D1444+D1445+D1446+D1447</f>
        <v>577304.8400000001</v>
      </c>
      <c r="E1448" s="424">
        <f>E1440+E1441+E1442+E1443+E1444+E1445+E1446+E1447</f>
        <v>1170350</v>
      </c>
      <c r="F1448" s="424">
        <f>F1440+F1441+F1442+F1443+F1444+F1445+F1446+F1447</f>
        <v>601212.48</v>
      </c>
      <c r="G1448" s="37">
        <f t="shared" si="72"/>
        <v>1.0414125057396018</v>
      </c>
      <c r="H1448" s="37">
        <f t="shared" si="73"/>
        <v>0.5137031486307515</v>
      </c>
      <c r="I1448" s="38">
        <f>SUM(I1440:I1447)</f>
        <v>1</v>
      </c>
    </row>
    <row r="1449" spans="1:9" s="135" customFormat="1" ht="20.25" customHeight="1">
      <c r="A1449" s="282"/>
      <c r="B1449" s="283"/>
      <c r="C1449" s="283"/>
      <c r="D1449" s="284"/>
      <c r="E1449" s="285"/>
      <c r="F1449" s="285"/>
      <c r="G1449" s="286"/>
      <c r="H1449" s="287"/>
      <c r="I1449" s="287"/>
    </row>
    <row r="1450" spans="1:9" s="135" customFormat="1" ht="20.25" customHeight="1">
      <c r="A1450" s="599" t="s">
        <v>975</v>
      </c>
      <c r="B1450" s="599"/>
      <c r="C1450" s="599"/>
      <c r="D1450" s="599"/>
      <c r="E1450" s="599"/>
      <c r="F1450" s="599"/>
      <c r="G1450" s="599"/>
      <c r="H1450" s="599"/>
      <c r="I1450" s="599"/>
    </row>
    <row r="1451" spans="1:9" s="135" customFormat="1" ht="20.25" customHeight="1">
      <c r="A1451" s="599" t="s">
        <v>976</v>
      </c>
      <c r="B1451" s="599"/>
      <c r="C1451" s="599"/>
      <c r="D1451" s="599"/>
      <c r="E1451" s="599"/>
      <c r="F1451" s="599"/>
      <c r="G1451" s="599"/>
      <c r="H1451" s="599"/>
      <c r="I1451" s="599"/>
    </row>
    <row r="1452" spans="1:9" s="135" customFormat="1" ht="20.25" customHeight="1">
      <c r="A1452" s="599" t="s">
        <v>977</v>
      </c>
      <c r="B1452" s="599"/>
      <c r="C1452" s="599"/>
      <c r="D1452" s="599"/>
      <c r="E1452" s="599"/>
      <c r="F1452" s="599"/>
      <c r="G1452" s="599"/>
      <c r="H1452" s="599"/>
      <c r="I1452" s="599"/>
    </row>
    <row r="1453" spans="1:9" s="135" customFormat="1" ht="20.25" customHeight="1">
      <c r="A1453" s="599" t="s">
        <v>978</v>
      </c>
      <c r="B1453" s="599"/>
      <c r="C1453" s="599"/>
      <c r="D1453" s="599"/>
      <c r="E1453" s="599"/>
      <c r="F1453" s="599"/>
      <c r="G1453" s="599"/>
      <c r="H1453" s="599"/>
      <c r="I1453" s="599"/>
    </row>
    <row r="1454" spans="1:9" s="135" customFormat="1" ht="20.25" customHeight="1">
      <c r="A1454" s="599" t="s">
        <v>803</v>
      </c>
      <c r="B1454" s="599"/>
      <c r="C1454" s="599"/>
      <c r="D1454" s="599"/>
      <c r="E1454" s="599"/>
      <c r="F1454" s="599"/>
      <c r="G1454" s="599"/>
      <c r="H1454" s="599"/>
      <c r="I1454" s="599"/>
    </row>
    <row r="1455" spans="1:9" s="135" customFormat="1" ht="20.25" customHeight="1">
      <c r="A1455" s="599" t="s">
        <v>855</v>
      </c>
      <c r="B1455" s="599"/>
      <c r="C1455" s="599"/>
      <c r="D1455" s="599"/>
      <c r="E1455" s="599"/>
      <c r="F1455" s="599"/>
      <c r="G1455" s="599"/>
      <c r="H1455" s="599"/>
      <c r="I1455" s="599"/>
    </row>
    <row r="1456" spans="1:8" s="135" customFormat="1" ht="20.25" customHeight="1">
      <c r="A1456" s="40"/>
      <c r="B1456" s="40"/>
      <c r="C1456"/>
      <c r="D1456" s="487" t="s">
        <v>682</v>
      </c>
      <c r="E1456" s="487"/>
      <c r="F1456" s="487"/>
      <c r="G1456" s="40"/>
      <c r="H1456" s="40"/>
    </row>
    <row r="1457" spans="1:8" s="135" customFormat="1" ht="20.25" customHeight="1">
      <c r="A1457" s="40"/>
      <c r="B1457" s="40"/>
      <c r="C1457" s="40"/>
      <c r="D1457" s="40"/>
      <c r="E1457" s="40"/>
      <c r="F1457" s="40"/>
      <c r="G1457" s="40"/>
      <c r="H1457" s="40"/>
    </row>
    <row r="1458" spans="1:9" s="135" customFormat="1" ht="20.25" customHeight="1">
      <c r="A1458" s="22" t="s">
        <v>683</v>
      </c>
      <c r="B1458" s="491" t="s">
        <v>688</v>
      </c>
      <c r="C1458" s="492"/>
      <c r="D1458" s="5" t="s">
        <v>686</v>
      </c>
      <c r="E1458" s="5" t="s">
        <v>712</v>
      </c>
      <c r="F1458" s="5" t="s">
        <v>686</v>
      </c>
      <c r="G1458" s="510" t="s">
        <v>713</v>
      </c>
      <c r="H1458" s="511"/>
      <c r="I1458" s="6" t="s">
        <v>714</v>
      </c>
    </row>
    <row r="1459" spans="1:9" s="135" customFormat="1" ht="20.25" customHeight="1">
      <c r="A1459" s="23" t="s">
        <v>97</v>
      </c>
      <c r="B1459" s="493"/>
      <c r="C1459" s="494"/>
      <c r="D1459" s="7" t="s">
        <v>656</v>
      </c>
      <c r="E1459" s="7" t="s">
        <v>715</v>
      </c>
      <c r="F1459" s="7" t="s">
        <v>657</v>
      </c>
      <c r="G1459" s="8" t="s">
        <v>706</v>
      </c>
      <c r="H1459" s="9" t="s">
        <v>707</v>
      </c>
      <c r="I1459" s="10" t="s">
        <v>717</v>
      </c>
    </row>
    <row r="1460" spans="1:9" s="135" customFormat="1" ht="20.25" customHeight="1">
      <c r="A1460" s="13">
        <v>1</v>
      </c>
      <c r="B1460" s="501">
        <v>2</v>
      </c>
      <c r="C1460" s="502"/>
      <c r="D1460" s="12">
        <v>3</v>
      </c>
      <c r="E1460" s="12">
        <v>4</v>
      </c>
      <c r="F1460" s="12">
        <v>5</v>
      </c>
      <c r="G1460" s="12">
        <v>6</v>
      </c>
      <c r="H1460" s="12">
        <v>7</v>
      </c>
      <c r="I1460" s="13">
        <v>8</v>
      </c>
    </row>
    <row r="1461" spans="1:9" s="135" customFormat="1" ht="20.25" customHeight="1">
      <c r="A1461" s="4">
        <v>111</v>
      </c>
      <c r="B1461" s="504" t="s">
        <v>540</v>
      </c>
      <c r="C1461" s="505"/>
      <c r="D1461" s="25">
        <v>53242.26</v>
      </c>
      <c r="E1461" s="25">
        <v>165000</v>
      </c>
      <c r="F1461" s="25">
        <v>57367.92</v>
      </c>
      <c r="G1461" s="26">
        <f aca="true" t="shared" si="74" ref="G1461:G1466">F1461/D1461</f>
        <v>1.0774884462079557</v>
      </c>
      <c r="H1461" s="27">
        <f aca="true" t="shared" si="75" ref="H1461:H1466">F1461/E1461</f>
        <v>0.3476843636363636</v>
      </c>
      <c r="I1461" s="16">
        <f>F1461/F1466</f>
        <v>0.3457579053628049</v>
      </c>
    </row>
    <row r="1462" spans="1:9" s="135" customFormat="1" ht="20.25" customHeight="1">
      <c r="A1462" s="4">
        <v>130</v>
      </c>
      <c r="B1462" s="504" t="s">
        <v>541</v>
      </c>
      <c r="C1462" s="505"/>
      <c r="D1462" s="234">
        <v>20152.12</v>
      </c>
      <c r="E1462" s="14">
        <v>52000</v>
      </c>
      <c r="F1462" s="14">
        <v>108551.41</v>
      </c>
      <c r="G1462" s="15">
        <f t="shared" si="74"/>
        <v>5.386600020246009</v>
      </c>
      <c r="H1462" s="16">
        <f t="shared" si="75"/>
        <v>2.0875271153846153</v>
      </c>
      <c r="I1462" s="16">
        <f>F1462/F1466</f>
        <v>0.6542420946371951</v>
      </c>
    </row>
    <row r="1463" spans="1:9" s="135" customFormat="1" ht="20.25" customHeight="1">
      <c r="A1463" s="4">
        <v>132</v>
      </c>
      <c r="B1463" s="504" t="s">
        <v>542</v>
      </c>
      <c r="C1463" s="505"/>
      <c r="D1463" s="238">
        <v>0</v>
      </c>
      <c r="E1463" s="25">
        <v>0</v>
      </c>
      <c r="F1463" s="25">
        <v>0</v>
      </c>
      <c r="G1463" s="15" t="e">
        <f t="shared" si="74"/>
        <v>#DIV/0!</v>
      </c>
      <c r="H1463" s="16" t="e">
        <f t="shared" si="75"/>
        <v>#DIV/0!</v>
      </c>
      <c r="I1463" s="16">
        <f>F1463/F1466</f>
        <v>0</v>
      </c>
    </row>
    <row r="1464" spans="1:9" s="135" customFormat="1" ht="20.25" customHeight="1">
      <c r="A1464" s="4">
        <v>200</v>
      </c>
      <c r="B1464" s="507" t="s">
        <v>543</v>
      </c>
      <c r="C1464" s="508"/>
      <c r="D1464" s="54">
        <v>1000</v>
      </c>
      <c r="E1464" s="25">
        <v>0</v>
      </c>
      <c r="F1464" s="25">
        <v>0</v>
      </c>
      <c r="G1464" s="15">
        <f t="shared" si="74"/>
        <v>0</v>
      </c>
      <c r="H1464" s="16" t="e">
        <f t="shared" si="75"/>
        <v>#DIV/0!</v>
      </c>
      <c r="I1464" s="16">
        <f>F1464/F1466</f>
        <v>0</v>
      </c>
    </row>
    <row r="1465" spans="1:9" s="135" customFormat="1" ht="20.25" customHeight="1">
      <c r="A1465" s="4">
        <v>300</v>
      </c>
      <c r="B1465" s="504" t="s">
        <v>544</v>
      </c>
      <c r="C1465" s="505"/>
      <c r="D1465" s="25">
        <v>0</v>
      </c>
      <c r="E1465" s="25">
        <v>0</v>
      </c>
      <c r="F1465" s="25">
        <v>0</v>
      </c>
      <c r="G1465" s="15" t="e">
        <f t="shared" si="74"/>
        <v>#DIV/0!</v>
      </c>
      <c r="H1465" s="16" t="e">
        <f t="shared" si="75"/>
        <v>#DIV/0!</v>
      </c>
      <c r="I1465" s="16">
        <f>F1465/F1466</f>
        <v>0</v>
      </c>
    </row>
    <row r="1466" spans="1:9" s="135" customFormat="1" ht="30" customHeight="1">
      <c r="A1466" s="17"/>
      <c r="B1466" s="583" t="s">
        <v>95</v>
      </c>
      <c r="C1466" s="584"/>
      <c r="D1466" s="288">
        <f>D1461+D1462+D1463+D1464+D1465</f>
        <v>74394.38</v>
      </c>
      <c r="E1466" s="211">
        <f>E1461+E1462+E1463+E1464+E1465</f>
        <v>217000</v>
      </c>
      <c r="F1466" s="211">
        <f>F1461+F1462+F1463+F1464+F1465</f>
        <v>165919.33000000002</v>
      </c>
      <c r="G1466" s="212">
        <f t="shared" si="74"/>
        <v>2.2302669905979458</v>
      </c>
      <c r="H1466" s="213">
        <f t="shared" si="75"/>
        <v>0.764605207373272</v>
      </c>
      <c r="I1466" s="213">
        <f>SUM(I1461:I1465)</f>
        <v>1</v>
      </c>
    </row>
    <row r="1467" spans="1:8" s="135" customFormat="1" ht="20.25" customHeight="1">
      <c r="A1467" s="49"/>
      <c r="B1467" s="49"/>
      <c r="C1467" s="49"/>
      <c r="D1467" s="49"/>
      <c r="E1467" s="208"/>
      <c r="F1467" s="49"/>
      <c r="G1467" s="49"/>
      <c r="H1467" s="40"/>
    </row>
    <row r="1468" spans="1:9" s="135" customFormat="1" ht="20.25" customHeight="1">
      <c r="A1468" s="289"/>
      <c r="B1468" s="600" t="s">
        <v>341</v>
      </c>
      <c r="C1468" s="600"/>
      <c r="D1468" s="600"/>
      <c r="E1468" s="600"/>
      <c r="F1468" s="600"/>
      <c r="G1468" s="600"/>
      <c r="H1468" s="600"/>
      <c r="I1468" s="600"/>
    </row>
    <row r="1469" spans="1:9" s="135" customFormat="1" ht="20.25" customHeight="1">
      <c r="A1469" s="600" t="s">
        <v>342</v>
      </c>
      <c r="B1469" s="600"/>
      <c r="C1469" s="600"/>
      <c r="D1469" s="600"/>
      <c r="E1469" s="600"/>
      <c r="F1469" s="600"/>
      <c r="G1469" s="600"/>
      <c r="H1469" s="600"/>
      <c r="I1469" s="600"/>
    </row>
    <row r="1470" spans="1:9" s="135" customFormat="1" ht="20.25" customHeight="1">
      <c r="A1470" s="600" t="s">
        <v>343</v>
      </c>
      <c r="B1470" s="600"/>
      <c r="C1470" s="600"/>
      <c r="D1470" s="600"/>
      <c r="E1470" s="600"/>
      <c r="F1470" s="600"/>
      <c r="G1470" s="600"/>
      <c r="H1470" s="600"/>
      <c r="I1470" s="600"/>
    </row>
    <row r="1471" spans="1:9" s="135" customFormat="1" ht="20.25" customHeight="1">
      <c r="A1471" s="503" t="s">
        <v>344</v>
      </c>
      <c r="B1471" s="503"/>
      <c r="C1471" s="503"/>
      <c r="D1471" s="503"/>
      <c r="E1471" s="503"/>
      <c r="F1471" s="503"/>
      <c r="G1471" s="503"/>
      <c r="H1471" s="503"/>
      <c r="I1471" s="503"/>
    </row>
    <row r="1472" spans="1:9" s="135" customFormat="1" ht="20.25" customHeight="1">
      <c r="A1472" s="486" t="s">
        <v>345</v>
      </c>
      <c r="B1472" s="486"/>
      <c r="C1472" s="486"/>
      <c r="D1472" s="486"/>
      <c r="E1472" s="486"/>
      <c r="F1472" s="486"/>
      <c r="G1472" s="486"/>
      <c r="H1472" s="486"/>
      <c r="I1472" s="486"/>
    </row>
    <row r="1473" spans="1:9" s="135" customFormat="1" ht="20.25" customHeight="1">
      <c r="A1473" s="486" t="s">
        <v>346</v>
      </c>
      <c r="B1473" s="486"/>
      <c r="C1473" s="486"/>
      <c r="D1473" s="486"/>
      <c r="E1473" s="486"/>
      <c r="F1473" s="486"/>
      <c r="G1473" s="486"/>
      <c r="H1473" s="486"/>
      <c r="I1473" s="486"/>
    </row>
    <row r="1474" spans="1:9" s="135" customFormat="1" ht="20.25" customHeight="1">
      <c r="A1474" s="486" t="s">
        <v>347</v>
      </c>
      <c r="B1474" s="486"/>
      <c r="C1474" s="486"/>
      <c r="D1474" s="486"/>
      <c r="E1474" s="486"/>
      <c r="F1474" s="486"/>
      <c r="G1474" s="486"/>
      <c r="H1474" s="486"/>
      <c r="I1474" s="486"/>
    </row>
    <row r="1475" spans="1:9" s="135" customFormat="1" ht="20.25" customHeight="1">
      <c r="A1475" s="486" t="s">
        <v>348</v>
      </c>
      <c r="B1475" s="486"/>
      <c r="C1475" s="486"/>
      <c r="D1475" s="486"/>
      <c r="E1475" s="486"/>
      <c r="F1475" s="486"/>
      <c r="G1475" s="486"/>
      <c r="H1475" s="486"/>
      <c r="I1475" s="486"/>
    </row>
    <row r="1476" spans="1:9" s="135" customFormat="1" ht="20.25" customHeight="1">
      <c r="A1476" s="486" t="s">
        <v>370</v>
      </c>
      <c r="B1476" s="486"/>
      <c r="C1476" s="486"/>
      <c r="D1476" s="486"/>
      <c r="E1476" s="486"/>
      <c r="F1476" s="486"/>
      <c r="G1476" s="486"/>
      <c r="H1476" s="486"/>
      <c r="I1476" s="486"/>
    </row>
    <row r="1477" spans="1:9" s="135" customFormat="1" ht="20.25" customHeight="1">
      <c r="A1477" s="503"/>
      <c r="B1477" s="503"/>
      <c r="C1477" s="503"/>
      <c r="D1477" s="503"/>
      <c r="E1477" s="503"/>
      <c r="F1477" s="503"/>
      <c r="G1477" s="503"/>
      <c r="H1477" s="503"/>
      <c r="I1477" s="503"/>
    </row>
    <row r="1478" spans="1:8" s="135" customFormat="1" ht="27" customHeight="1">
      <c r="A1478" s="273"/>
      <c r="B1478" s="605" t="s">
        <v>992</v>
      </c>
      <c r="C1478" s="605"/>
      <c r="D1478" s="605"/>
      <c r="E1478" s="273"/>
      <c r="F1478" s="273"/>
      <c r="G1478" s="273"/>
      <c r="H1478" s="273"/>
    </row>
    <row r="1479" spans="1:8" s="135" customFormat="1" ht="27" customHeight="1">
      <c r="A1479" s="273"/>
      <c r="B1479" s="297"/>
      <c r="C1479" s="297"/>
      <c r="D1479" s="297"/>
      <c r="E1479" s="273"/>
      <c r="F1479" s="273"/>
      <c r="G1479" s="273"/>
      <c r="H1479" s="273"/>
    </row>
    <row r="1480" spans="1:8" s="135" customFormat="1" ht="20.25" customHeight="1">
      <c r="A1480" s="273"/>
      <c r="B1480" s="281"/>
      <c r="C1480" s="281"/>
      <c r="D1480" s="281"/>
      <c r="E1480" s="273"/>
      <c r="F1480" s="273"/>
      <c r="G1480" s="273"/>
      <c r="H1480" s="273"/>
    </row>
    <row r="1481" spans="1:8" s="135" customFormat="1" ht="20.25" customHeight="1">
      <c r="A1481" s="273"/>
      <c r="B1481" s="191" t="s">
        <v>828</v>
      </c>
      <c r="C1481" s="281"/>
      <c r="D1481" s="281"/>
      <c r="E1481" s="273"/>
      <c r="F1481" s="273"/>
      <c r="G1481" s="273"/>
      <c r="H1481" s="273"/>
    </row>
    <row r="1482" spans="1:9" s="135" customFormat="1" ht="20.25" customHeight="1">
      <c r="A1482" s="518" t="s">
        <v>829</v>
      </c>
      <c r="B1482" s="518"/>
      <c r="C1482" s="518"/>
      <c r="D1482" s="518"/>
      <c r="E1482" s="518"/>
      <c r="F1482" s="518"/>
      <c r="G1482" s="518"/>
      <c r="H1482" s="518"/>
      <c r="I1482" s="518"/>
    </row>
    <row r="1483" spans="1:9" s="135" customFormat="1" ht="20.25" customHeight="1">
      <c r="A1483" s="518" t="s">
        <v>830</v>
      </c>
      <c r="B1483" s="518"/>
      <c r="C1483" s="518"/>
      <c r="D1483" s="518"/>
      <c r="E1483" s="518"/>
      <c r="F1483" s="518"/>
      <c r="G1483" s="518"/>
      <c r="H1483" s="518"/>
      <c r="I1483" s="518"/>
    </row>
    <row r="1484" spans="1:9" s="135" customFormat="1" ht="20.25" customHeight="1">
      <c r="A1484" s="191"/>
      <c r="B1484" s="191"/>
      <c r="C1484" s="191"/>
      <c r="D1484" s="191"/>
      <c r="E1484" s="191"/>
      <c r="F1484" s="191"/>
      <c r="G1484" s="191"/>
      <c r="H1484" s="191"/>
      <c r="I1484" s="191"/>
    </row>
    <row r="1485" spans="1:9" s="135" customFormat="1" ht="20.25" customHeight="1">
      <c r="A1485" s="273"/>
      <c r="E1485" s="273"/>
      <c r="F1485" s="273"/>
      <c r="G1485" s="273"/>
      <c r="H1485" s="273"/>
      <c r="I1485" s="441"/>
    </row>
    <row r="1486" spans="1:9" s="135" customFormat="1" ht="20.25" customHeight="1">
      <c r="A1486" s="273"/>
      <c r="E1486" s="273"/>
      <c r="F1486" s="273"/>
      <c r="G1486" s="273"/>
      <c r="H1486" s="273"/>
      <c r="I1486" s="441">
        <v>22</v>
      </c>
    </row>
    <row r="1487" spans="1:9" s="135" customFormat="1" ht="20.25" customHeight="1">
      <c r="A1487" s="273"/>
      <c r="E1487" s="273"/>
      <c r="F1487" s="273"/>
      <c r="G1487" s="273"/>
      <c r="H1487" s="273"/>
      <c r="I1487" s="441"/>
    </row>
    <row r="1488" spans="1:9" s="135" customFormat="1" ht="20.25" customHeight="1">
      <c r="A1488" s="273"/>
      <c r="E1488" s="273"/>
      <c r="F1488" s="273"/>
      <c r="G1488" s="273"/>
      <c r="H1488" s="273"/>
      <c r="I1488" s="209"/>
    </row>
    <row r="1489" spans="1:9" s="135" customFormat="1" ht="20.25" customHeight="1">
      <c r="A1489" s="273"/>
      <c r="E1489" s="273"/>
      <c r="F1489" s="273"/>
      <c r="G1489" s="273"/>
      <c r="H1489" s="273"/>
      <c r="I1489" s="209"/>
    </row>
    <row r="1490" spans="1:9" s="135" customFormat="1" ht="30" customHeight="1">
      <c r="A1490" s="278"/>
      <c r="B1490" s="608" t="s">
        <v>986</v>
      </c>
      <c r="C1490" s="608"/>
      <c r="D1490" s="608"/>
      <c r="E1490" s="608"/>
      <c r="F1490" s="608"/>
      <c r="G1490" s="608"/>
      <c r="I1490" s="272"/>
    </row>
    <row r="1491" spans="1:9" s="135" customFormat="1" ht="30" customHeight="1">
      <c r="A1491" s="278"/>
      <c r="B1491" s="278"/>
      <c r="C1491" s="278"/>
      <c r="D1491" s="278"/>
      <c r="E1491" s="278"/>
      <c r="F1491" s="278"/>
      <c r="G1491" s="278"/>
      <c r="I1491" s="272"/>
    </row>
    <row r="1492" s="135" customFormat="1" ht="20.25" customHeight="1">
      <c r="I1492" s="272"/>
    </row>
    <row r="1493" s="135" customFormat="1" ht="20.25" customHeight="1">
      <c r="I1493" s="272"/>
    </row>
    <row r="1494" spans="1:9" s="135" customFormat="1" ht="20.25" customHeight="1">
      <c r="A1494" s="138"/>
      <c r="B1494" s="518" t="s">
        <v>349</v>
      </c>
      <c r="C1494" s="518"/>
      <c r="D1494" s="518"/>
      <c r="E1494" s="518"/>
      <c r="F1494" s="518"/>
      <c r="G1494" s="518"/>
      <c r="H1494" s="518"/>
      <c r="I1494" s="518"/>
    </row>
    <row r="1495" spans="1:9" s="135" customFormat="1" ht="20.25" customHeight="1">
      <c r="A1495" s="518" t="s">
        <v>350</v>
      </c>
      <c r="B1495" s="518"/>
      <c r="C1495" s="518"/>
      <c r="D1495" s="518"/>
      <c r="E1495" s="518"/>
      <c r="F1495" s="518"/>
      <c r="G1495" s="518"/>
      <c r="H1495" s="518"/>
      <c r="I1495" s="518"/>
    </row>
    <row r="1496" spans="1:9" s="135" customFormat="1" ht="20.25" customHeight="1">
      <c r="A1496" s="518" t="s">
        <v>793</v>
      </c>
      <c r="B1496" s="518"/>
      <c r="C1496" s="518"/>
      <c r="D1496" s="518"/>
      <c r="E1496" s="518"/>
      <c r="F1496" s="518"/>
      <c r="G1496" s="518"/>
      <c r="H1496" s="518"/>
      <c r="I1496" s="518"/>
    </row>
    <row r="1497" spans="1:9" s="135" customFormat="1" ht="20.25" customHeight="1">
      <c r="A1497" s="518" t="s">
        <v>351</v>
      </c>
      <c r="B1497" s="518"/>
      <c r="C1497" s="518"/>
      <c r="D1497" s="518"/>
      <c r="E1497" s="518"/>
      <c r="F1497" s="518"/>
      <c r="G1497" s="518"/>
      <c r="H1497" s="518"/>
      <c r="I1497" s="518"/>
    </row>
    <row r="1498" spans="1:9" s="135" customFormat="1" ht="20.25" customHeight="1">
      <c r="A1498" s="191"/>
      <c r="B1498" s="518" t="s">
        <v>1073</v>
      </c>
      <c r="C1498" s="518"/>
      <c r="D1498" s="518"/>
      <c r="E1498" s="518"/>
      <c r="F1498" s="518"/>
      <c r="G1498" s="518"/>
      <c r="H1498" s="518"/>
      <c r="I1498" s="518"/>
    </row>
    <row r="1499" spans="1:9" s="135" customFormat="1" ht="20.25" customHeight="1">
      <c r="A1499" s="191"/>
      <c r="B1499" s="191"/>
      <c r="C1499" s="191"/>
      <c r="D1499" s="191"/>
      <c r="E1499" s="191"/>
      <c r="F1499" s="191"/>
      <c r="G1499" s="191"/>
      <c r="H1499" s="191"/>
      <c r="I1499" s="191"/>
    </row>
    <row r="1500" spans="1:8" s="135" customFormat="1" ht="20.25" customHeight="1">
      <c r="A1500" s="40"/>
      <c r="B1500" s="39"/>
      <c r="C1500"/>
      <c r="D1500" s="487" t="s">
        <v>682</v>
      </c>
      <c r="E1500" s="487"/>
      <c r="F1500" s="487"/>
      <c r="G1500" s="40"/>
      <c r="H1500" s="40"/>
    </row>
    <row r="1501" spans="1:8" s="135" customFormat="1" ht="20.25" customHeight="1">
      <c r="A1501" s="40"/>
      <c r="B1501" s="40"/>
      <c r="C1501" s="40"/>
      <c r="D1501" s="40"/>
      <c r="E1501" s="40"/>
      <c r="F1501" s="40"/>
      <c r="G1501" s="40"/>
      <c r="H1501" s="40"/>
    </row>
    <row r="1502" spans="1:9" s="135" customFormat="1" ht="20.25" customHeight="1">
      <c r="A1502" s="612" t="s">
        <v>683</v>
      </c>
      <c r="B1502" s="491" t="s">
        <v>688</v>
      </c>
      <c r="C1502" s="492"/>
      <c r="D1502" s="5" t="s">
        <v>686</v>
      </c>
      <c r="E1502" s="5" t="s">
        <v>712</v>
      </c>
      <c r="F1502" s="5" t="s">
        <v>686</v>
      </c>
      <c r="G1502" s="510" t="s">
        <v>713</v>
      </c>
      <c r="H1502" s="511"/>
      <c r="I1502" s="6" t="s">
        <v>714</v>
      </c>
    </row>
    <row r="1503" spans="1:9" s="135" customFormat="1" ht="20.25" customHeight="1">
      <c r="A1503" s="613"/>
      <c r="B1503" s="493"/>
      <c r="C1503" s="494"/>
      <c r="D1503" s="7" t="s">
        <v>656</v>
      </c>
      <c r="E1503" s="7" t="s">
        <v>715</v>
      </c>
      <c r="F1503" s="7" t="s">
        <v>657</v>
      </c>
      <c r="G1503" s="8" t="s">
        <v>706</v>
      </c>
      <c r="H1503" s="9" t="s">
        <v>707</v>
      </c>
      <c r="I1503" s="10" t="s">
        <v>717</v>
      </c>
    </row>
    <row r="1504" spans="1:9" s="135" customFormat="1" ht="20.25" customHeight="1">
      <c r="A1504" s="13">
        <v>1</v>
      </c>
      <c r="B1504" s="295">
        <v>2</v>
      </c>
      <c r="C1504" s="296"/>
      <c r="D1504" s="12">
        <v>3</v>
      </c>
      <c r="E1504" s="12">
        <v>4</v>
      </c>
      <c r="F1504" s="12">
        <v>5</v>
      </c>
      <c r="G1504" s="12">
        <v>6</v>
      </c>
      <c r="H1504" s="12">
        <v>7</v>
      </c>
      <c r="I1504" s="13">
        <v>8</v>
      </c>
    </row>
    <row r="1505" spans="1:9" s="135" customFormat="1" ht="20.25" customHeight="1">
      <c r="A1505" s="188">
        <v>50008</v>
      </c>
      <c r="B1505" s="610" t="s">
        <v>989</v>
      </c>
      <c r="C1505" s="611"/>
      <c r="D1505" s="151">
        <v>10832</v>
      </c>
      <c r="E1505" s="290">
        <v>36000</v>
      </c>
      <c r="F1505" s="25">
        <v>4665</v>
      </c>
      <c r="G1505" s="15">
        <f>F1505/D1505</f>
        <v>0.43066838995568685</v>
      </c>
      <c r="H1505" s="16">
        <f>F1505/E1505</f>
        <v>0.12958333333333333</v>
      </c>
      <c r="I1505" s="16">
        <f>F1505/F1507</f>
        <v>0.3084780887980464</v>
      </c>
    </row>
    <row r="1506" spans="1:9" s="135" customFormat="1" ht="20.25" customHeight="1">
      <c r="A1506" s="304" t="s">
        <v>904</v>
      </c>
      <c r="B1506" s="610" t="s">
        <v>990</v>
      </c>
      <c r="C1506" s="611"/>
      <c r="D1506" s="151">
        <v>19751.4</v>
      </c>
      <c r="E1506" s="290">
        <v>45000</v>
      </c>
      <c r="F1506" s="14">
        <v>10457.63</v>
      </c>
      <c r="G1506" s="15">
        <f>F1506/D1506</f>
        <v>0.5294627216298591</v>
      </c>
      <c r="H1506" s="16">
        <f>F1506/E1506</f>
        <v>0.23239177777777775</v>
      </c>
      <c r="I1506" s="16">
        <f>F1506/F1507</f>
        <v>0.6915219112019536</v>
      </c>
    </row>
    <row r="1507" spans="1:9" s="135" customFormat="1" ht="20.25" customHeight="1">
      <c r="A1507" s="461"/>
      <c r="B1507" s="659" t="s">
        <v>471</v>
      </c>
      <c r="C1507" s="660"/>
      <c r="D1507" s="427">
        <f>D1505+D1506</f>
        <v>30583.4</v>
      </c>
      <c r="E1507" s="427">
        <f>E1505+E1506</f>
        <v>81000</v>
      </c>
      <c r="F1507" s="427">
        <f>F1505+F1506</f>
        <v>15122.63</v>
      </c>
      <c r="G1507" s="428">
        <f>F1507/D1507</f>
        <v>0.49447183766356906</v>
      </c>
      <c r="H1507" s="405">
        <f>F1507/E1507</f>
        <v>0.18669913580246913</v>
      </c>
      <c r="I1507" s="405">
        <f>F1507/F1509</f>
        <v>0.7883337512374219</v>
      </c>
    </row>
    <row r="1508" spans="1:9" s="135" customFormat="1" ht="20.25" customHeight="1">
      <c r="A1508" s="280"/>
      <c r="B1508" s="610" t="s">
        <v>704</v>
      </c>
      <c r="C1508" s="611"/>
      <c r="D1508" s="151">
        <v>0</v>
      </c>
      <c r="E1508" s="290">
        <v>0</v>
      </c>
      <c r="F1508" s="14">
        <v>4060.4</v>
      </c>
      <c r="G1508" s="15" t="e">
        <f>F1508/D1508</f>
        <v>#DIV/0!</v>
      </c>
      <c r="H1508" s="16" t="e">
        <f>F1508/E1508</f>
        <v>#DIV/0!</v>
      </c>
      <c r="I1508" s="16">
        <f>F1508/F1509</f>
        <v>0.2116662487625782</v>
      </c>
    </row>
    <row r="1509" spans="1:9" s="135" customFormat="1" ht="30" customHeight="1">
      <c r="A1509" s="210"/>
      <c r="B1509" s="597" t="s">
        <v>95</v>
      </c>
      <c r="C1509" s="598"/>
      <c r="D1509" s="279">
        <f>D1507+D1508</f>
        <v>30583.4</v>
      </c>
      <c r="E1509" s="279">
        <f>E1507+E1508</f>
        <v>81000</v>
      </c>
      <c r="F1509" s="279">
        <f>F1507+F1508</f>
        <v>19183.03</v>
      </c>
      <c r="G1509" s="212">
        <f>F1509/D1509</f>
        <v>0.6272366708737419</v>
      </c>
      <c r="H1509" s="213">
        <f>F1509/E1509</f>
        <v>0.23682753086419753</v>
      </c>
      <c r="I1509" s="213">
        <f>I1507+I1508</f>
        <v>1</v>
      </c>
    </row>
    <row r="1510" spans="1:9" s="135" customFormat="1" ht="20.25" customHeight="1">
      <c r="A1510" s="282"/>
      <c r="B1510" s="283"/>
      <c r="C1510" s="283"/>
      <c r="D1510" s="284"/>
      <c r="E1510" s="285"/>
      <c r="F1510" s="285"/>
      <c r="G1510" s="286"/>
      <c r="H1510" s="287"/>
      <c r="I1510" s="287"/>
    </row>
    <row r="1511" spans="1:9" s="135" customFormat="1" ht="20.25" customHeight="1">
      <c r="A1511" s="599" t="s">
        <v>352</v>
      </c>
      <c r="B1511" s="599"/>
      <c r="C1511" s="599"/>
      <c r="D1511" s="599"/>
      <c r="E1511" s="599"/>
      <c r="F1511" s="599"/>
      <c r="G1511" s="599"/>
      <c r="H1511" s="599"/>
      <c r="I1511" s="599"/>
    </row>
    <row r="1512" spans="1:9" s="135" customFormat="1" ht="20.25" customHeight="1">
      <c r="A1512" s="599" t="s">
        <v>353</v>
      </c>
      <c r="B1512" s="599"/>
      <c r="C1512" s="599"/>
      <c r="D1512" s="599"/>
      <c r="E1512" s="599"/>
      <c r="F1512" s="599"/>
      <c r="G1512" s="599"/>
      <c r="H1512" s="599"/>
      <c r="I1512" s="599"/>
    </row>
    <row r="1513" spans="1:9" s="135" customFormat="1" ht="20.25" customHeight="1">
      <c r="A1513" s="599" t="s">
        <v>354</v>
      </c>
      <c r="B1513" s="599"/>
      <c r="C1513" s="599"/>
      <c r="D1513" s="599"/>
      <c r="E1513" s="599"/>
      <c r="F1513" s="599"/>
      <c r="G1513" s="599"/>
      <c r="H1513" s="599"/>
      <c r="I1513" s="599"/>
    </row>
    <row r="1514" spans="1:9" s="135" customFormat="1" ht="20.25" customHeight="1">
      <c r="A1514" s="599" t="s">
        <v>355</v>
      </c>
      <c r="B1514" s="599"/>
      <c r="C1514" s="599"/>
      <c r="D1514" s="599"/>
      <c r="E1514" s="599"/>
      <c r="F1514" s="599"/>
      <c r="G1514" s="599"/>
      <c r="H1514" s="599"/>
      <c r="I1514" s="599"/>
    </row>
    <row r="1515" spans="1:9" s="135" customFormat="1" ht="20.25" customHeight="1">
      <c r="A1515" s="599" t="s">
        <v>356</v>
      </c>
      <c r="B1515" s="599"/>
      <c r="C1515" s="599"/>
      <c r="D1515" s="599"/>
      <c r="E1515" s="599"/>
      <c r="F1515" s="599"/>
      <c r="G1515" s="599"/>
      <c r="H1515" s="599"/>
      <c r="I1515" s="599"/>
    </row>
    <row r="1516" spans="1:9" s="135" customFormat="1" ht="20.25" customHeight="1">
      <c r="A1516" s="292"/>
      <c r="B1516" s="599" t="s">
        <v>622</v>
      </c>
      <c r="C1516" s="599"/>
      <c r="D1516" s="599"/>
      <c r="E1516" s="599"/>
      <c r="F1516" s="599"/>
      <c r="G1516" s="599"/>
      <c r="H1516" s="599"/>
      <c r="I1516" s="599"/>
    </row>
    <row r="1517" spans="1:9" s="135" customFormat="1" ht="20.25" customHeight="1">
      <c r="A1517" s="599" t="s">
        <v>623</v>
      </c>
      <c r="B1517" s="599"/>
      <c r="C1517" s="599"/>
      <c r="D1517" s="599"/>
      <c r="E1517" s="599"/>
      <c r="F1517" s="599"/>
      <c r="G1517" s="599"/>
      <c r="H1517" s="599"/>
      <c r="I1517" s="599"/>
    </row>
    <row r="1518" spans="1:9" s="135" customFormat="1" ht="20.25" customHeight="1">
      <c r="A1518" s="599" t="s">
        <v>855</v>
      </c>
      <c r="B1518" s="599"/>
      <c r="C1518" s="599"/>
      <c r="D1518" s="599"/>
      <c r="E1518" s="599"/>
      <c r="F1518" s="599"/>
      <c r="G1518" s="599"/>
      <c r="H1518" s="599"/>
      <c r="I1518" s="599"/>
    </row>
    <row r="1519" spans="1:8" s="135" customFormat="1" ht="20.25" customHeight="1">
      <c r="A1519" s="40"/>
      <c r="B1519" s="40"/>
      <c r="C1519"/>
      <c r="D1519" s="607" t="s">
        <v>682</v>
      </c>
      <c r="E1519" s="607"/>
      <c r="F1519" s="607"/>
      <c r="G1519" s="40"/>
      <c r="H1519" s="40"/>
    </row>
    <row r="1520" spans="1:8" s="135" customFormat="1" ht="20.25" customHeight="1">
      <c r="A1520" s="40"/>
      <c r="B1520" s="40"/>
      <c r="C1520" s="40"/>
      <c r="D1520" s="40"/>
      <c r="E1520" s="40"/>
      <c r="F1520" s="40"/>
      <c r="G1520" s="40"/>
      <c r="H1520" s="40"/>
    </row>
    <row r="1521" spans="1:9" s="135" customFormat="1" ht="20.25" customHeight="1">
      <c r="A1521" s="22" t="s">
        <v>683</v>
      </c>
      <c r="B1521" s="491" t="s">
        <v>688</v>
      </c>
      <c r="C1521" s="492"/>
      <c r="D1521" s="5" t="s">
        <v>686</v>
      </c>
      <c r="E1521" s="5" t="s">
        <v>712</v>
      </c>
      <c r="F1521" s="5" t="s">
        <v>686</v>
      </c>
      <c r="G1521" s="510" t="s">
        <v>713</v>
      </c>
      <c r="H1521" s="511"/>
      <c r="I1521" s="6" t="s">
        <v>714</v>
      </c>
    </row>
    <row r="1522" spans="1:9" s="135" customFormat="1" ht="20.25" customHeight="1">
      <c r="A1522" s="23" t="s">
        <v>97</v>
      </c>
      <c r="B1522" s="493"/>
      <c r="C1522" s="494"/>
      <c r="D1522" s="7" t="s">
        <v>656</v>
      </c>
      <c r="E1522" s="7" t="s">
        <v>715</v>
      </c>
      <c r="F1522" s="7" t="s">
        <v>657</v>
      </c>
      <c r="G1522" s="8" t="s">
        <v>706</v>
      </c>
      <c r="H1522" s="9" t="s">
        <v>707</v>
      </c>
      <c r="I1522" s="10" t="s">
        <v>717</v>
      </c>
    </row>
    <row r="1523" spans="1:9" s="135" customFormat="1" ht="20.25" customHeight="1">
      <c r="A1523" s="13">
        <v>1</v>
      </c>
      <c r="B1523" s="535">
        <v>2</v>
      </c>
      <c r="C1523" s="536"/>
      <c r="D1523" s="12">
        <v>3</v>
      </c>
      <c r="E1523" s="12">
        <v>4</v>
      </c>
      <c r="F1523" s="12">
        <v>5</v>
      </c>
      <c r="G1523" s="12">
        <v>6</v>
      </c>
      <c r="H1523" s="12">
        <v>7</v>
      </c>
      <c r="I1523" s="13">
        <v>8</v>
      </c>
    </row>
    <row r="1524" spans="1:9" s="135" customFormat="1" ht="20.25" customHeight="1">
      <c r="A1524" s="4">
        <v>111</v>
      </c>
      <c r="B1524" s="504" t="s">
        <v>540</v>
      </c>
      <c r="C1524" s="505"/>
      <c r="D1524" s="25">
        <v>18233.35</v>
      </c>
      <c r="E1524" s="25">
        <v>60000</v>
      </c>
      <c r="F1524" s="25">
        <v>22319</v>
      </c>
      <c r="G1524" s="15">
        <f aca="true" t="shared" si="76" ref="G1524:G1529">F1524/D1524</f>
        <v>1.2240756635505818</v>
      </c>
      <c r="H1524" s="27">
        <f aca="true" t="shared" si="77" ref="H1524:H1529">F1524/E1524</f>
        <v>0.37198333333333333</v>
      </c>
      <c r="I1524" s="16">
        <f>F1524/F1529</f>
        <v>0.029857146283682915</v>
      </c>
    </row>
    <row r="1525" spans="1:9" s="135" customFormat="1" ht="20.25" customHeight="1">
      <c r="A1525" s="4">
        <v>130</v>
      </c>
      <c r="B1525" s="504" t="s">
        <v>541</v>
      </c>
      <c r="C1525" s="505"/>
      <c r="D1525" s="234">
        <v>41924.69</v>
      </c>
      <c r="E1525" s="14">
        <v>120000</v>
      </c>
      <c r="F1525" s="14">
        <v>51373.97</v>
      </c>
      <c r="G1525" s="15">
        <f t="shared" si="76"/>
        <v>1.2253869974947935</v>
      </c>
      <c r="H1525" s="16">
        <f t="shared" si="77"/>
        <v>0.42811641666666667</v>
      </c>
      <c r="I1525" s="16">
        <f>F1525/F1529</f>
        <v>0.06872530747181942</v>
      </c>
    </row>
    <row r="1526" spans="1:9" s="135" customFormat="1" ht="20.25" customHeight="1">
      <c r="A1526" s="4">
        <v>132</v>
      </c>
      <c r="B1526" s="504" t="s">
        <v>542</v>
      </c>
      <c r="C1526" s="505"/>
      <c r="D1526" s="238">
        <v>41863.02</v>
      </c>
      <c r="E1526" s="25">
        <v>100000</v>
      </c>
      <c r="F1526" s="25">
        <v>66145.75</v>
      </c>
      <c r="G1526" s="15">
        <f t="shared" si="76"/>
        <v>1.580052036379602</v>
      </c>
      <c r="H1526" s="16">
        <f t="shared" si="77"/>
        <v>0.6614575</v>
      </c>
      <c r="I1526" s="16">
        <f>F1526/F1529</f>
        <v>0.0884861926517281</v>
      </c>
    </row>
    <row r="1527" spans="1:9" s="135" customFormat="1" ht="20.25" customHeight="1">
      <c r="A1527" s="4">
        <v>200</v>
      </c>
      <c r="B1527" s="504" t="s">
        <v>543</v>
      </c>
      <c r="C1527" s="505"/>
      <c r="D1527" s="54">
        <v>0</v>
      </c>
      <c r="E1527" s="25">
        <v>0</v>
      </c>
      <c r="F1527" s="25">
        <v>0</v>
      </c>
      <c r="G1527" s="15" t="e">
        <f t="shared" si="76"/>
        <v>#DIV/0!</v>
      </c>
      <c r="H1527" s="16" t="e">
        <f t="shared" si="77"/>
        <v>#DIV/0!</v>
      </c>
      <c r="I1527" s="16">
        <f>F1527/F1529</f>
        <v>0</v>
      </c>
    </row>
    <row r="1528" spans="1:9" s="135" customFormat="1" ht="20.25" customHeight="1">
      <c r="A1528" s="4">
        <v>300</v>
      </c>
      <c r="B1528" s="504" t="s">
        <v>544</v>
      </c>
      <c r="C1528" s="505"/>
      <c r="D1528" s="25">
        <v>893342.66</v>
      </c>
      <c r="E1528" s="25">
        <v>3304269.12</v>
      </c>
      <c r="F1528" s="25">
        <v>607687.51</v>
      </c>
      <c r="G1528" s="15">
        <f t="shared" si="76"/>
        <v>0.6802401107767538</v>
      </c>
      <c r="H1528" s="16">
        <f t="shared" si="77"/>
        <v>0.18390981119600816</v>
      </c>
      <c r="I1528" s="16">
        <f>F1528/F1529</f>
        <v>0.8129313535927696</v>
      </c>
    </row>
    <row r="1529" spans="1:9" s="135" customFormat="1" ht="30" customHeight="1">
      <c r="A1529" s="17"/>
      <c r="B1529" s="548" t="s">
        <v>95</v>
      </c>
      <c r="C1529" s="549"/>
      <c r="D1529" s="288">
        <f>D1524+D1525+D1526+D1527+D1528</f>
        <v>995363.72</v>
      </c>
      <c r="E1529" s="36">
        <f>E1524+E1525+E1526+E1527+E1528</f>
        <v>3584269.12</v>
      </c>
      <c r="F1529" s="211">
        <f>F1524+F1525+F1526+F1527+F1528</f>
        <v>747526.23</v>
      </c>
      <c r="G1529" s="212">
        <f t="shared" si="76"/>
        <v>0.7510081138983045</v>
      </c>
      <c r="H1529" s="213">
        <f t="shared" si="77"/>
        <v>0.20855750641849125</v>
      </c>
      <c r="I1529" s="213">
        <f>SUM(I1524:I1528)</f>
        <v>1</v>
      </c>
    </row>
    <row r="1530" spans="1:8" s="135" customFormat="1" ht="20.25" customHeight="1">
      <c r="A1530" s="49"/>
      <c r="B1530" s="49"/>
      <c r="C1530" s="49"/>
      <c r="D1530" s="49"/>
      <c r="E1530" s="208"/>
      <c r="F1530" s="49"/>
      <c r="G1530" s="49"/>
      <c r="H1530" s="40"/>
    </row>
    <row r="1531" spans="1:9" s="135" customFormat="1" ht="20.25" customHeight="1">
      <c r="A1531" s="289"/>
      <c r="B1531" s="600" t="s">
        <v>357</v>
      </c>
      <c r="C1531" s="600"/>
      <c r="D1531" s="600"/>
      <c r="E1531" s="600"/>
      <c r="F1531" s="600"/>
      <c r="G1531" s="600"/>
      <c r="H1531" s="600"/>
      <c r="I1531" s="600"/>
    </row>
    <row r="1532" spans="1:9" s="135" customFormat="1" ht="20.25" customHeight="1">
      <c r="A1532" s="600" t="s">
        <v>358</v>
      </c>
      <c r="B1532" s="600"/>
      <c r="C1532" s="600"/>
      <c r="D1532" s="600"/>
      <c r="E1532" s="600"/>
      <c r="F1532" s="600"/>
      <c r="G1532" s="600"/>
      <c r="H1532" s="600"/>
      <c r="I1532" s="600"/>
    </row>
    <row r="1533" spans="1:9" s="135" customFormat="1" ht="20.25" customHeight="1">
      <c r="A1533" s="600" t="s">
        <v>359</v>
      </c>
      <c r="B1533" s="600"/>
      <c r="C1533" s="600"/>
      <c r="D1533" s="600"/>
      <c r="E1533" s="600"/>
      <c r="F1533" s="600"/>
      <c r="G1533" s="600"/>
      <c r="H1533" s="600"/>
      <c r="I1533" s="600"/>
    </row>
    <row r="1534" spans="1:9" s="135" customFormat="1" ht="20.25" customHeight="1">
      <c r="A1534" s="503" t="s">
        <v>360</v>
      </c>
      <c r="B1534" s="503"/>
      <c r="C1534" s="503"/>
      <c r="D1534" s="503"/>
      <c r="E1534" s="503"/>
      <c r="F1534" s="503"/>
      <c r="G1534" s="503"/>
      <c r="H1534" s="503"/>
      <c r="I1534" s="503"/>
    </row>
    <row r="1535" spans="1:9" s="135" customFormat="1" ht="20.25" customHeight="1">
      <c r="A1535" s="486" t="s">
        <v>361</v>
      </c>
      <c r="B1535" s="486"/>
      <c r="C1535" s="486"/>
      <c r="D1535" s="486"/>
      <c r="E1535" s="486"/>
      <c r="F1535" s="486"/>
      <c r="G1535" s="486"/>
      <c r="H1535" s="486"/>
      <c r="I1535" s="486"/>
    </row>
    <row r="1536" spans="1:9" s="135" customFormat="1" ht="20.25" customHeight="1">
      <c r="A1536" s="486" t="s">
        <v>362</v>
      </c>
      <c r="B1536" s="486"/>
      <c r="C1536" s="486"/>
      <c r="D1536" s="486"/>
      <c r="E1536" s="486"/>
      <c r="F1536" s="486"/>
      <c r="G1536" s="486"/>
      <c r="H1536" s="486"/>
      <c r="I1536" s="486"/>
    </row>
    <row r="1537" spans="1:9" s="135" customFormat="1" ht="20.25" customHeight="1">
      <c r="A1537" s="486" t="s">
        <v>1148</v>
      </c>
      <c r="B1537" s="486"/>
      <c r="C1537" s="486"/>
      <c r="D1537" s="486"/>
      <c r="E1537" s="486"/>
      <c r="F1537" s="486"/>
      <c r="G1537" s="486"/>
      <c r="H1537" s="486"/>
      <c r="I1537" s="486"/>
    </row>
    <row r="1538" spans="1:9" s="135" customFormat="1" ht="20.25" customHeight="1">
      <c r="A1538" s="486" t="s">
        <v>979</v>
      </c>
      <c r="B1538" s="486"/>
      <c r="C1538" s="486"/>
      <c r="D1538" s="486"/>
      <c r="E1538" s="486"/>
      <c r="F1538" s="486"/>
      <c r="G1538" s="486"/>
      <c r="H1538" s="486"/>
      <c r="I1538" s="486"/>
    </row>
    <row r="1539" spans="1:9" s="135" customFormat="1" ht="20.25" customHeight="1">
      <c r="A1539" s="486" t="s">
        <v>1149</v>
      </c>
      <c r="B1539" s="486"/>
      <c r="C1539" s="486"/>
      <c r="D1539" s="486"/>
      <c r="E1539" s="486"/>
      <c r="F1539" s="486"/>
      <c r="G1539" s="486"/>
      <c r="H1539" s="486"/>
      <c r="I1539" s="486"/>
    </row>
    <row r="1540" spans="1:9" s="135" customFormat="1" ht="20.25" customHeight="1">
      <c r="A1540" s="486" t="s">
        <v>1150</v>
      </c>
      <c r="B1540" s="486"/>
      <c r="C1540" s="486"/>
      <c r="D1540" s="486"/>
      <c r="E1540" s="486"/>
      <c r="F1540" s="486"/>
      <c r="G1540" s="486"/>
      <c r="H1540" s="486"/>
      <c r="I1540" s="486"/>
    </row>
    <row r="1541" spans="1:9" s="135" customFormat="1" ht="20.25" customHeight="1">
      <c r="A1541" s="486" t="s">
        <v>1152</v>
      </c>
      <c r="B1541" s="486"/>
      <c r="C1541" s="486"/>
      <c r="D1541" s="486"/>
      <c r="E1541" s="486"/>
      <c r="F1541" s="486"/>
      <c r="G1541" s="486"/>
      <c r="H1541" s="486"/>
      <c r="I1541" s="486"/>
    </row>
    <row r="1542" spans="1:9" s="135" customFormat="1" ht="20.25" customHeight="1">
      <c r="A1542" s="486" t="s">
        <v>1151</v>
      </c>
      <c r="B1542" s="486"/>
      <c r="C1542" s="486"/>
      <c r="D1542" s="486"/>
      <c r="E1542" s="486"/>
      <c r="F1542" s="486"/>
      <c r="G1542" s="486"/>
      <c r="H1542" s="486"/>
      <c r="I1542" s="486"/>
    </row>
    <row r="1543" spans="1:9" s="135" customFormat="1" ht="20.25" customHeight="1">
      <c r="A1543" s="486" t="s">
        <v>1153</v>
      </c>
      <c r="B1543" s="486"/>
      <c r="C1543" s="486"/>
      <c r="D1543" s="486"/>
      <c r="E1543" s="486"/>
      <c r="F1543" s="486"/>
      <c r="G1543" s="486"/>
      <c r="H1543" s="486"/>
      <c r="I1543" s="486"/>
    </row>
    <row r="1544" spans="1:9" s="135" customFormat="1" ht="20.25" customHeight="1">
      <c r="A1544" s="486" t="s">
        <v>538</v>
      </c>
      <c r="B1544" s="486"/>
      <c r="C1544" s="486"/>
      <c r="D1544" s="486"/>
      <c r="E1544" s="486"/>
      <c r="F1544" s="486"/>
      <c r="G1544" s="486"/>
      <c r="H1544" s="486"/>
      <c r="I1544" s="486"/>
    </row>
    <row r="1545" spans="1:9" s="135" customFormat="1" ht="20.25" customHeight="1">
      <c r="A1545" s="39"/>
      <c r="B1545" s="39"/>
      <c r="C1545" s="39"/>
      <c r="D1545" s="39"/>
      <c r="E1545" s="39"/>
      <c r="F1545" s="39"/>
      <c r="G1545" s="39"/>
      <c r="H1545" s="39"/>
      <c r="I1545" s="39"/>
    </row>
    <row r="1546" spans="1:9" s="135" customFormat="1" ht="20.25" customHeight="1">
      <c r="A1546" s="39"/>
      <c r="B1546" s="39"/>
      <c r="C1546" s="39"/>
      <c r="D1546" s="39"/>
      <c r="E1546" s="39"/>
      <c r="F1546" s="39"/>
      <c r="G1546" s="39"/>
      <c r="H1546" s="39"/>
      <c r="I1546" s="39"/>
    </row>
    <row r="1547" spans="1:9" s="135" customFormat="1" ht="20.25" customHeight="1">
      <c r="A1547" s="273"/>
      <c r="B1547" s="273"/>
      <c r="C1547" s="273"/>
      <c r="D1547" s="273"/>
      <c r="E1547" s="273"/>
      <c r="F1547" s="273"/>
      <c r="G1547" s="273"/>
      <c r="H1547" s="273"/>
      <c r="I1547" s="273"/>
    </row>
    <row r="1548" spans="1:9" s="135" customFormat="1" ht="20.25" customHeight="1">
      <c r="A1548" s="273"/>
      <c r="B1548" s="281"/>
      <c r="C1548" s="281"/>
      <c r="D1548" s="281"/>
      <c r="E1548" s="273"/>
      <c r="F1548" s="273"/>
      <c r="G1548" s="273"/>
      <c r="H1548" s="273"/>
      <c r="I1548" s="441">
        <v>23</v>
      </c>
    </row>
    <row r="1549" spans="1:8" s="135" customFormat="1" ht="20.25" customHeight="1">
      <c r="A1549" s="273"/>
      <c r="B1549" s="281"/>
      <c r="C1549" s="281"/>
      <c r="D1549" s="281"/>
      <c r="E1549" s="273"/>
      <c r="F1549" s="273"/>
      <c r="G1549" s="273"/>
      <c r="H1549" s="273"/>
    </row>
    <row r="1550" spans="1:9" s="135" customFormat="1" ht="20.25" customHeight="1">
      <c r="A1550" s="273"/>
      <c r="B1550" s="281"/>
      <c r="C1550" s="281"/>
      <c r="D1550" s="281"/>
      <c r="E1550" s="273"/>
      <c r="F1550" s="273"/>
      <c r="G1550" s="273"/>
      <c r="H1550" s="273"/>
      <c r="I1550" s="441"/>
    </row>
    <row r="1551" spans="1:8" s="135" customFormat="1" ht="20.25" customHeight="1">
      <c r="A1551" s="273"/>
      <c r="B1551" s="281"/>
      <c r="C1551" s="281"/>
      <c r="D1551" s="281"/>
      <c r="E1551" s="273"/>
      <c r="F1551" s="273"/>
      <c r="G1551" s="273"/>
      <c r="H1551" s="273"/>
    </row>
    <row r="1552" spans="1:9" s="135" customFormat="1" ht="20.25" customHeight="1">
      <c r="A1552" s="273"/>
      <c r="B1552" s="281"/>
      <c r="C1552" s="281"/>
      <c r="D1552" s="281"/>
      <c r="E1552" s="273"/>
      <c r="F1552" s="273"/>
      <c r="G1552" s="273"/>
      <c r="H1552" s="273"/>
      <c r="I1552" s="441"/>
    </row>
    <row r="1553" spans="1:8" s="135" customFormat="1" ht="20.25" customHeight="1">
      <c r="A1553" s="273"/>
      <c r="B1553" s="281"/>
      <c r="C1553" s="281"/>
      <c r="D1553" s="281"/>
      <c r="E1553" s="273"/>
      <c r="F1553" s="273"/>
      <c r="G1553" s="273"/>
      <c r="H1553" s="273"/>
    </row>
    <row r="1554" spans="1:8" s="135" customFormat="1" ht="20.25" customHeight="1">
      <c r="A1554" s="273"/>
      <c r="B1554" s="281"/>
      <c r="C1554" s="281"/>
      <c r="D1554" s="281"/>
      <c r="E1554" s="273"/>
      <c r="F1554" s="273"/>
      <c r="G1554" s="273"/>
      <c r="H1554" s="273"/>
    </row>
    <row r="1555" spans="1:9" s="135" customFormat="1" ht="20.25" customHeight="1">
      <c r="A1555" s="273"/>
      <c r="B1555" s="281"/>
      <c r="C1555" s="281"/>
      <c r="D1555" s="281"/>
      <c r="E1555" s="273"/>
      <c r="F1555" s="273"/>
      <c r="G1555" s="273"/>
      <c r="H1555" s="273"/>
      <c r="I1555" s="273"/>
    </row>
    <row r="1556" spans="1:9" s="135" customFormat="1" ht="27" customHeight="1">
      <c r="A1556" s="273"/>
      <c r="B1556" s="297" t="s">
        <v>992</v>
      </c>
      <c r="C1556" s="297"/>
      <c r="E1556" s="273"/>
      <c r="F1556" s="273"/>
      <c r="G1556" s="273"/>
      <c r="H1556" s="273"/>
      <c r="I1556" s="273"/>
    </row>
    <row r="1557" spans="1:9" s="135" customFormat="1" ht="20.25" customHeight="1">
      <c r="A1557" s="273"/>
      <c r="B1557" s="281"/>
      <c r="C1557" s="281"/>
      <c r="D1557" s="281"/>
      <c r="E1557" s="273"/>
      <c r="F1557" s="273"/>
      <c r="G1557" s="273"/>
      <c r="H1557" s="273"/>
      <c r="I1557" s="273"/>
    </row>
    <row r="1558" spans="1:9" s="135" customFormat="1" ht="20.25" customHeight="1">
      <c r="A1558" s="273"/>
      <c r="B1558" s="281"/>
      <c r="C1558" s="281"/>
      <c r="D1558" s="281"/>
      <c r="E1558" s="273"/>
      <c r="F1558" s="273"/>
      <c r="G1558" s="273"/>
      <c r="H1558" s="273"/>
      <c r="I1558" s="273"/>
    </row>
    <row r="1559" spans="1:9" s="135" customFormat="1" ht="20.25" customHeight="1">
      <c r="A1559" s="273"/>
      <c r="B1559" s="281"/>
      <c r="C1559" s="281"/>
      <c r="D1559" s="281"/>
      <c r="E1559" s="273"/>
      <c r="F1559" s="273"/>
      <c r="G1559" s="273"/>
      <c r="H1559" s="273"/>
      <c r="I1559" s="273"/>
    </row>
    <row r="1560" spans="1:9" s="135" customFormat="1" ht="20.25" customHeight="1">
      <c r="A1560" s="273"/>
      <c r="B1560" s="281"/>
      <c r="C1560" s="281"/>
      <c r="D1560" s="281"/>
      <c r="E1560" s="273"/>
      <c r="F1560" s="273"/>
      <c r="G1560" s="273"/>
      <c r="H1560" s="273"/>
      <c r="I1560" s="273"/>
    </row>
    <row r="1561" spans="1:9" s="135" customFormat="1" ht="20.25" customHeight="1">
      <c r="A1561" s="273"/>
      <c r="B1561" s="281"/>
      <c r="C1561" s="281"/>
      <c r="D1561" s="281"/>
      <c r="E1561" s="273"/>
      <c r="F1561" s="273"/>
      <c r="G1561" s="273"/>
      <c r="H1561" s="273"/>
      <c r="I1561" s="273"/>
    </row>
    <row r="1562" spans="1:9" s="135" customFormat="1" ht="20.25" customHeight="1">
      <c r="A1562" s="273"/>
      <c r="B1562" s="281"/>
      <c r="C1562" s="281"/>
      <c r="D1562" s="281"/>
      <c r="E1562" s="273"/>
      <c r="F1562" s="273"/>
      <c r="G1562" s="273"/>
      <c r="H1562" s="273"/>
      <c r="I1562" s="273"/>
    </row>
    <row r="1563" spans="1:9" s="135" customFormat="1" ht="20.25" customHeight="1">
      <c r="A1563" s="273"/>
      <c r="B1563" s="281"/>
      <c r="C1563" s="281"/>
      <c r="D1563" s="281"/>
      <c r="E1563" s="273"/>
      <c r="F1563" s="273"/>
      <c r="G1563" s="273"/>
      <c r="H1563" s="273"/>
      <c r="I1563" s="273"/>
    </row>
    <row r="1564" spans="1:9" s="135" customFormat="1" ht="20.25" customHeight="1">
      <c r="A1564" s="273"/>
      <c r="B1564" s="273"/>
      <c r="C1564" s="273"/>
      <c r="D1564" s="273"/>
      <c r="E1564" s="273"/>
      <c r="F1564" s="273"/>
      <c r="G1564" s="273"/>
      <c r="H1564" s="273"/>
      <c r="I1564" s="273"/>
    </row>
    <row r="1565" spans="1:9" s="135" customFormat="1" ht="20.25" customHeight="1">
      <c r="A1565" s="273"/>
      <c r="B1565" s="273"/>
      <c r="C1565" s="273"/>
      <c r="D1565" s="273"/>
      <c r="E1565" s="273"/>
      <c r="F1565" s="273"/>
      <c r="G1565" s="273"/>
      <c r="H1565" s="273"/>
      <c r="I1565" s="273"/>
    </row>
    <row r="1566" spans="1:9" s="135" customFormat="1" ht="20.25" customHeight="1">
      <c r="A1566" s="273"/>
      <c r="B1566" s="273"/>
      <c r="C1566" s="273"/>
      <c r="D1566" s="273"/>
      <c r="E1566" s="273"/>
      <c r="F1566" s="273"/>
      <c r="G1566" s="273"/>
      <c r="H1566" s="273"/>
      <c r="I1566" s="273"/>
    </row>
    <row r="1567" spans="1:9" s="135" customFormat="1" ht="20.25" customHeight="1">
      <c r="A1567" s="273"/>
      <c r="B1567" s="273"/>
      <c r="C1567" s="273"/>
      <c r="D1567" s="273"/>
      <c r="E1567" s="273"/>
      <c r="F1567" s="273"/>
      <c r="G1567" s="273"/>
      <c r="H1567" s="273"/>
      <c r="I1567" s="273"/>
    </row>
    <row r="1568" spans="1:9" s="135" customFormat="1" ht="20.25" customHeight="1">
      <c r="A1568" s="273"/>
      <c r="B1568" s="273"/>
      <c r="C1568" s="273"/>
      <c r="D1568" s="273"/>
      <c r="E1568" s="273"/>
      <c r="F1568" s="273"/>
      <c r="G1568" s="273"/>
      <c r="H1568" s="273"/>
      <c r="I1568" s="273"/>
    </row>
    <row r="1569" spans="1:9" s="135" customFormat="1" ht="20.25" customHeight="1">
      <c r="A1569" s="273"/>
      <c r="B1569" s="273"/>
      <c r="C1569" s="273"/>
      <c r="D1569" s="273"/>
      <c r="E1569" s="273"/>
      <c r="F1569" s="273"/>
      <c r="G1569" s="273"/>
      <c r="H1569" s="273"/>
      <c r="I1569" s="273"/>
    </row>
    <row r="1570" spans="1:9" s="135" customFormat="1" ht="27" customHeight="1">
      <c r="A1570" s="273"/>
      <c r="B1570" s="297" t="s">
        <v>993</v>
      </c>
      <c r="C1570" s="297"/>
      <c r="D1570" s="297"/>
      <c r="E1570" s="297"/>
      <c r="F1570" s="273"/>
      <c r="G1570" s="273"/>
      <c r="H1570" s="273"/>
      <c r="I1570" s="273"/>
    </row>
    <row r="1571" spans="1:9" s="135" customFormat="1" ht="20.25" customHeight="1">
      <c r="A1571" s="273"/>
      <c r="B1571" s="273"/>
      <c r="C1571" s="273"/>
      <c r="D1571" s="273"/>
      <c r="E1571" s="273"/>
      <c r="F1571" s="273"/>
      <c r="G1571" s="273"/>
      <c r="H1571" s="273"/>
      <c r="I1571" s="273"/>
    </row>
    <row r="1572" spans="1:9" s="135" customFormat="1" ht="20.25" customHeight="1">
      <c r="A1572" s="273"/>
      <c r="B1572" s="518"/>
      <c r="C1572" s="518"/>
      <c r="D1572" s="518"/>
      <c r="E1572" s="518"/>
      <c r="F1572" s="518"/>
      <c r="G1572" s="518"/>
      <c r="H1572" s="518"/>
      <c r="I1572" s="518"/>
    </row>
    <row r="1573" spans="1:9" s="135" customFormat="1" ht="20.25" customHeight="1">
      <c r="A1573" s="518"/>
      <c r="B1573" s="518"/>
      <c r="C1573" s="518"/>
      <c r="D1573" s="518"/>
      <c r="E1573" s="518"/>
      <c r="F1573" s="518"/>
      <c r="G1573" s="518"/>
      <c r="H1573" s="518"/>
      <c r="I1573" s="518"/>
    </row>
    <row r="1574" spans="1:9" s="135" customFormat="1" ht="20.25" customHeight="1">
      <c r="A1574" s="273"/>
      <c r="B1574" s="273"/>
      <c r="C1574" s="273"/>
      <c r="D1574" s="273"/>
      <c r="E1574" s="273"/>
      <c r="F1574" s="273"/>
      <c r="G1574" s="273"/>
      <c r="H1574" s="273"/>
      <c r="I1574" s="273"/>
    </row>
    <row r="1575" spans="1:9" s="135" customFormat="1" ht="20.25" customHeight="1">
      <c r="A1575" s="273"/>
      <c r="E1575" s="273"/>
      <c r="F1575" s="273"/>
      <c r="G1575" s="273"/>
      <c r="H1575" s="273"/>
      <c r="I1575" s="273"/>
    </row>
    <row r="1576" spans="1:9" s="135" customFormat="1" ht="20.25" customHeight="1">
      <c r="A1576" s="273"/>
      <c r="B1576" s="273"/>
      <c r="C1576" s="273"/>
      <c r="D1576" s="273"/>
      <c r="E1576" s="273"/>
      <c r="F1576" s="273"/>
      <c r="G1576" s="273"/>
      <c r="H1576" s="273"/>
      <c r="I1576" s="273"/>
    </row>
    <row r="1577" spans="1:9" s="135" customFormat="1" ht="20.25" customHeight="1">
      <c r="A1577" s="273"/>
      <c r="B1577" s="273"/>
      <c r="C1577" s="273"/>
      <c r="D1577" s="273"/>
      <c r="E1577" s="273"/>
      <c r="F1577" s="273"/>
      <c r="G1577" s="273"/>
      <c r="H1577" s="273"/>
      <c r="I1577"/>
    </row>
    <row r="1578" spans="1:9" s="135" customFormat="1" ht="20.25" customHeight="1">
      <c r="A1578"/>
      <c r="B1578"/>
      <c r="C1578"/>
      <c r="D1578"/>
      <c r="E1578"/>
      <c r="F1578"/>
      <c r="G1578"/>
      <c r="H1578"/>
      <c r="I1578"/>
    </row>
    <row r="1579" spans="1:9" s="135" customFormat="1" ht="20.25" customHeight="1">
      <c r="A1579"/>
      <c r="B1579"/>
      <c r="C1579"/>
      <c r="D1579"/>
      <c r="E1579"/>
      <c r="F1579"/>
      <c r="G1579"/>
      <c r="H1579"/>
      <c r="I1579"/>
    </row>
    <row r="1580" spans="1:8" s="135" customFormat="1" ht="20.25" customHeight="1">
      <c r="A1580"/>
      <c r="B1580"/>
      <c r="C1580"/>
      <c r="D1580"/>
      <c r="E1580"/>
      <c r="F1580"/>
      <c r="G1580"/>
      <c r="H1580"/>
    </row>
    <row r="1581" s="135" customFormat="1" ht="20.25" customHeight="1">
      <c r="I1581" s="209"/>
    </row>
    <row r="1582" s="135" customFormat="1" ht="20.25" customHeight="1"/>
    <row r="1583" s="135" customFormat="1" ht="20.25" customHeight="1"/>
    <row r="1584" s="135" customFormat="1" ht="20.25" customHeight="1"/>
    <row r="1585" s="135" customFormat="1" ht="20.25" customHeight="1"/>
    <row r="1586" s="135" customFormat="1" ht="20.25" customHeight="1"/>
    <row r="1587" s="135" customFormat="1" ht="20.25" customHeight="1"/>
    <row r="1588" s="135" customFormat="1" ht="20.25" customHeight="1">
      <c r="D1588" s="297"/>
    </row>
    <row r="1589" s="135" customFormat="1" ht="20.25" customHeight="1"/>
    <row r="1590" s="135" customFormat="1" ht="20.25" customHeight="1"/>
    <row r="1591" s="135" customFormat="1" ht="20.25" customHeight="1"/>
    <row r="1592" s="135" customFormat="1" ht="20.25" customHeight="1"/>
    <row r="1593" s="135" customFormat="1" ht="20.25" customHeight="1"/>
    <row r="1594" s="135" customFormat="1" ht="20.25" customHeight="1"/>
    <row r="1595" s="135" customFormat="1" ht="20.25" customHeight="1"/>
    <row r="1596" s="135" customFormat="1" ht="20.25" customHeight="1"/>
    <row r="1597" s="135" customFormat="1" ht="20.25" customHeight="1"/>
    <row r="1598" s="135" customFormat="1" ht="20.25" customHeight="1"/>
    <row r="1599" s="135" customFormat="1" ht="20.25" customHeight="1"/>
    <row r="1600" s="135" customFormat="1" ht="20.25" customHeight="1"/>
    <row r="1601" s="135" customFormat="1" ht="20.25" customHeight="1"/>
    <row r="1602" s="135" customFormat="1" ht="20.25" customHeight="1"/>
    <row r="1603" s="135" customFormat="1" ht="20.25" customHeight="1"/>
    <row r="1604" s="135" customFormat="1" ht="20.25" customHeight="1"/>
    <row r="1605" s="135" customFormat="1" ht="20.25" customHeight="1"/>
    <row r="1606" s="135" customFormat="1" ht="20.25" customHeight="1"/>
    <row r="1607" s="135" customFormat="1" ht="20.25" customHeight="1"/>
    <row r="1608" s="135" customFormat="1" ht="20.25" customHeight="1"/>
    <row r="1609" s="135" customFormat="1" ht="20.25" customHeight="1"/>
    <row r="1610" s="135" customFormat="1" ht="20.25" customHeight="1">
      <c r="I1610" s="430"/>
    </row>
    <row r="1611" spans="3:9" s="135" customFormat="1" ht="20.25" customHeight="1">
      <c r="C1611" s="114"/>
      <c r="I1611" s="430">
        <v>24</v>
      </c>
    </row>
    <row r="1612" spans="3:9" s="135" customFormat="1" ht="20.25" customHeight="1">
      <c r="C1612" s="114"/>
      <c r="I1612" s="430"/>
    </row>
    <row r="1613" spans="3:9" s="135" customFormat="1" ht="20.25" customHeight="1">
      <c r="C1613" s="114"/>
      <c r="I1613" s="186"/>
    </row>
    <row r="1614" spans="3:9" s="135" customFormat="1" ht="20.25" customHeight="1">
      <c r="C1614" s="114"/>
      <c r="I1614" s="186"/>
    </row>
    <row r="1615" spans="1:9" s="135" customFormat="1" ht="30" customHeight="1">
      <c r="A1615" s="608" t="s">
        <v>539</v>
      </c>
      <c r="B1615" s="608"/>
      <c r="C1615" s="608"/>
      <c r="D1615" s="608"/>
      <c r="E1615" s="608"/>
      <c r="F1615" s="608"/>
      <c r="G1615" s="608"/>
      <c r="H1615" s="608"/>
      <c r="I1615" s="272"/>
    </row>
    <row r="1616" spans="1:9" s="135" customFormat="1" ht="20.25" customHeight="1">
      <c r="A1616" s="278"/>
      <c r="B1616" s="278"/>
      <c r="C1616" s="278"/>
      <c r="D1616" s="278"/>
      <c r="E1616" s="278"/>
      <c r="I1616" s="272"/>
    </row>
    <row r="1617" s="135" customFormat="1" ht="20.25" customHeight="1">
      <c r="I1617" s="272"/>
    </row>
    <row r="1618" spans="1:9" s="135" customFormat="1" ht="20.25" customHeight="1">
      <c r="A1618" s="138"/>
      <c r="B1618" s="518" t="s">
        <v>1154</v>
      </c>
      <c r="C1618" s="518"/>
      <c r="D1618" s="518"/>
      <c r="E1618" s="518"/>
      <c r="F1618" s="518"/>
      <c r="G1618" s="518"/>
      <c r="H1618" s="518"/>
      <c r="I1618" s="518"/>
    </row>
    <row r="1619" spans="1:9" s="135" customFormat="1" ht="20.25" customHeight="1">
      <c r="A1619" s="518" t="s">
        <v>924</v>
      </c>
      <c r="B1619" s="518"/>
      <c r="C1619" s="518"/>
      <c r="D1619" s="518"/>
      <c r="E1619" s="518"/>
      <c r="F1619" s="518"/>
      <c r="G1619" s="518"/>
      <c r="H1619" s="518"/>
      <c r="I1619" s="518"/>
    </row>
    <row r="1620" spans="1:8" s="135" customFormat="1" ht="20.25" customHeight="1">
      <c r="A1620" s="40"/>
      <c r="B1620" s="39"/>
      <c r="C1620"/>
      <c r="D1620" s="487" t="s">
        <v>682</v>
      </c>
      <c r="E1620" s="487"/>
      <c r="F1620" s="487"/>
      <c r="G1620" s="40"/>
      <c r="H1620" s="40"/>
    </row>
    <row r="1621" spans="1:8" s="135" customFormat="1" ht="20.25" customHeight="1">
      <c r="A1621" s="40"/>
      <c r="B1621" s="40"/>
      <c r="C1621" s="40"/>
      <c r="D1621" s="40"/>
      <c r="E1621" s="40"/>
      <c r="F1621" s="40"/>
      <c r="G1621" s="40"/>
      <c r="H1621" s="40"/>
    </row>
    <row r="1622" spans="1:9" s="135" customFormat="1" ht="20.25" customHeight="1">
      <c r="A1622" s="612" t="s">
        <v>683</v>
      </c>
      <c r="B1622" s="491" t="s">
        <v>688</v>
      </c>
      <c r="C1622" s="492"/>
      <c r="D1622" s="5" t="s">
        <v>686</v>
      </c>
      <c r="E1622" s="5" t="s">
        <v>712</v>
      </c>
      <c r="F1622" s="5" t="s">
        <v>686</v>
      </c>
      <c r="G1622" s="510" t="s">
        <v>713</v>
      </c>
      <c r="H1622" s="511"/>
      <c r="I1622" s="6" t="s">
        <v>714</v>
      </c>
    </row>
    <row r="1623" spans="1:9" s="135" customFormat="1" ht="20.25" customHeight="1">
      <c r="A1623" s="613"/>
      <c r="B1623" s="493"/>
      <c r="C1623" s="494"/>
      <c r="D1623" s="7" t="s">
        <v>656</v>
      </c>
      <c r="E1623" s="7" t="s">
        <v>715</v>
      </c>
      <c r="F1623" s="7" t="s">
        <v>657</v>
      </c>
      <c r="G1623" s="8" t="s">
        <v>706</v>
      </c>
      <c r="H1623" s="9" t="s">
        <v>707</v>
      </c>
      <c r="I1623" s="10" t="s">
        <v>717</v>
      </c>
    </row>
    <row r="1624" spans="1:9" s="135" customFormat="1" ht="20.25" customHeight="1">
      <c r="A1624" s="13">
        <v>1</v>
      </c>
      <c r="B1624" s="535">
        <v>2</v>
      </c>
      <c r="C1624" s="536"/>
      <c r="D1624" s="12">
        <v>3</v>
      </c>
      <c r="E1624" s="12">
        <v>4</v>
      </c>
      <c r="F1624" s="12">
        <v>5</v>
      </c>
      <c r="G1624" s="12">
        <v>6</v>
      </c>
      <c r="H1624" s="12">
        <v>7</v>
      </c>
      <c r="I1624" s="13">
        <v>8</v>
      </c>
    </row>
    <row r="1625" spans="1:9" s="135" customFormat="1" ht="20.25" customHeight="1">
      <c r="A1625" s="4"/>
      <c r="B1625" s="504" t="s">
        <v>724</v>
      </c>
      <c r="C1625" s="505"/>
      <c r="D1625" s="25">
        <v>0</v>
      </c>
      <c r="E1625" s="25">
        <v>0</v>
      </c>
      <c r="F1625" s="25">
        <v>0</v>
      </c>
      <c r="G1625" s="15" t="e">
        <f>F1625/D1625</f>
        <v>#DIV/0!</v>
      </c>
      <c r="H1625" s="16" t="e">
        <f>F1625/E1625</f>
        <v>#DIV/0!</v>
      </c>
      <c r="I1625" s="16" t="e">
        <f>F1625/F1626</f>
        <v>#DIV/0!</v>
      </c>
    </row>
    <row r="1626" spans="1:9" s="135" customFormat="1" ht="30" customHeight="1">
      <c r="A1626" s="17"/>
      <c r="B1626" s="548" t="s">
        <v>919</v>
      </c>
      <c r="C1626" s="549"/>
      <c r="D1626" s="301">
        <f>D1625</f>
        <v>0</v>
      </c>
      <c r="E1626" s="301">
        <f>E1625</f>
        <v>0</v>
      </c>
      <c r="F1626" s="301">
        <f>F1625</f>
        <v>0</v>
      </c>
      <c r="G1626" s="265" t="e">
        <f>F1626/D1626</f>
        <v>#DIV/0!</v>
      </c>
      <c r="H1626" s="266" t="e">
        <f>F1626/E1626</f>
        <v>#DIV/0!</v>
      </c>
      <c r="I1626" s="266" t="e">
        <f>SUM(I1625:I1625)</f>
        <v>#DIV/0!</v>
      </c>
    </row>
    <row r="1627" spans="1:9" s="135" customFormat="1" ht="20.25" customHeight="1">
      <c r="A1627" s="282"/>
      <c r="B1627" s="283"/>
      <c r="C1627" s="283"/>
      <c r="D1627" s="284"/>
      <c r="E1627" s="285"/>
      <c r="F1627" s="285"/>
      <c r="G1627" s="286"/>
      <c r="H1627" s="287"/>
      <c r="I1627" s="287"/>
    </row>
    <row r="1628" spans="1:9" s="135" customFormat="1" ht="20.25" customHeight="1">
      <c r="A1628" s="599" t="s">
        <v>980</v>
      </c>
      <c r="B1628" s="599"/>
      <c r="C1628" s="599"/>
      <c r="D1628" s="599"/>
      <c r="E1628" s="599"/>
      <c r="F1628" s="599"/>
      <c r="G1628" s="599"/>
      <c r="H1628" s="599"/>
      <c r="I1628" s="599"/>
    </row>
    <row r="1629" spans="1:8" s="135" customFormat="1" ht="20.25" customHeight="1">
      <c r="A1629" s="40"/>
      <c r="B1629" s="40"/>
      <c r="C1629"/>
      <c r="D1629" s="487" t="s">
        <v>682</v>
      </c>
      <c r="E1629" s="487"/>
      <c r="F1629" s="487"/>
      <c r="G1629" s="40"/>
      <c r="H1629" s="40"/>
    </row>
    <row r="1630" spans="1:8" s="135" customFormat="1" ht="20.25" customHeight="1">
      <c r="A1630" s="40"/>
      <c r="B1630" s="40"/>
      <c r="C1630" s="40"/>
      <c r="D1630" s="40"/>
      <c r="E1630" s="40"/>
      <c r="F1630" s="40"/>
      <c r="G1630" s="40"/>
      <c r="H1630" s="40"/>
    </row>
    <row r="1631" spans="1:9" s="135" customFormat="1" ht="20.25" customHeight="1">
      <c r="A1631" s="22" t="s">
        <v>683</v>
      </c>
      <c r="B1631" s="491" t="s">
        <v>688</v>
      </c>
      <c r="C1631" s="492"/>
      <c r="D1631" s="5" t="s">
        <v>686</v>
      </c>
      <c r="E1631" s="5" t="s">
        <v>712</v>
      </c>
      <c r="F1631" s="5" t="s">
        <v>686</v>
      </c>
      <c r="G1631" s="510" t="s">
        <v>713</v>
      </c>
      <c r="H1631" s="511"/>
      <c r="I1631" s="6" t="s">
        <v>714</v>
      </c>
    </row>
    <row r="1632" spans="1:9" s="135" customFormat="1" ht="20.25" customHeight="1">
      <c r="A1632" s="23" t="s">
        <v>97</v>
      </c>
      <c r="B1632" s="493"/>
      <c r="C1632" s="494"/>
      <c r="D1632" s="7" t="s">
        <v>656</v>
      </c>
      <c r="E1632" s="7" t="s">
        <v>715</v>
      </c>
      <c r="F1632" s="7" t="s">
        <v>657</v>
      </c>
      <c r="G1632" s="8" t="s">
        <v>706</v>
      </c>
      <c r="H1632" s="9" t="s">
        <v>707</v>
      </c>
      <c r="I1632" s="10" t="s">
        <v>717</v>
      </c>
    </row>
    <row r="1633" spans="1:9" s="135" customFormat="1" ht="20.25" customHeight="1">
      <c r="A1633" s="13">
        <v>1</v>
      </c>
      <c r="B1633" s="535">
        <v>2</v>
      </c>
      <c r="C1633" s="536"/>
      <c r="D1633" s="12">
        <v>3</v>
      </c>
      <c r="E1633" s="12">
        <v>4</v>
      </c>
      <c r="F1633" s="12">
        <v>5</v>
      </c>
      <c r="G1633" s="12">
        <v>6</v>
      </c>
      <c r="H1633" s="12">
        <v>7</v>
      </c>
      <c r="I1633" s="13">
        <v>8</v>
      </c>
    </row>
    <row r="1634" spans="1:9" s="135" customFormat="1" ht="20.25" customHeight="1">
      <c r="A1634" s="4">
        <v>111</v>
      </c>
      <c r="B1634" s="504" t="s">
        <v>540</v>
      </c>
      <c r="C1634" s="505"/>
      <c r="D1634" s="25">
        <v>85937.13</v>
      </c>
      <c r="E1634" s="25">
        <v>225000</v>
      </c>
      <c r="F1634" s="25">
        <v>92387.72</v>
      </c>
      <c r="G1634" s="15">
        <f aca="true" t="shared" si="78" ref="G1634:G1639">F1634/D1634</f>
        <v>1.075061734083975</v>
      </c>
      <c r="H1634" s="27">
        <f aca="true" t="shared" si="79" ref="H1634:H1639">F1634/E1634</f>
        <v>0.4106120888888889</v>
      </c>
      <c r="I1634" s="16">
        <f>F1634/F1639</f>
        <v>0.37570591980174406</v>
      </c>
    </row>
    <row r="1635" spans="1:9" s="135" customFormat="1" ht="20.25" customHeight="1">
      <c r="A1635" s="4">
        <v>130</v>
      </c>
      <c r="B1635" s="504" t="s">
        <v>541</v>
      </c>
      <c r="C1635" s="505"/>
      <c r="D1635" s="234">
        <v>26276.02</v>
      </c>
      <c r="E1635" s="14">
        <v>46000</v>
      </c>
      <c r="F1635" s="14">
        <v>40879.14</v>
      </c>
      <c r="G1635" s="15">
        <f t="shared" si="78"/>
        <v>1.5557584443915022</v>
      </c>
      <c r="H1635" s="16">
        <f t="shared" si="79"/>
        <v>0.8886769565217392</v>
      </c>
      <c r="I1635" s="16">
        <f>F1635/F1639</f>
        <v>0.1662400034810283</v>
      </c>
    </row>
    <row r="1636" spans="1:9" s="135" customFormat="1" ht="20.25" customHeight="1">
      <c r="A1636" s="4">
        <v>132</v>
      </c>
      <c r="B1636" s="504" t="s">
        <v>542</v>
      </c>
      <c r="C1636" s="505"/>
      <c r="D1636" s="238">
        <v>5513.91</v>
      </c>
      <c r="E1636" s="25">
        <v>11000</v>
      </c>
      <c r="F1636" s="25">
        <v>6789.39</v>
      </c>
      <c r="G1636" s="15">
        <f t="shared" si="78"/>
        <v>1.2313204241636153</v>
      </c>
      <c r="H1636" s="16">
        <f t="shared" si="79"/>
        <v>0.6172172727272728</v>
      </c>
      <c r="I1636" s="16">
        <f>F1636/F1639</f>
        <v>0.027609881647071313</v>
      </c>
    </row>
    <row r="1637" spans="1:9" s="135" customFormat="1" ht="20.25" customHeight="1">
      <c r="A1637" s="4">
        <v>200</v>
      </c>
      <c r="B1637" s="504" t="s">
        <v>543</v>
      </c>
      <c r="C1637" s="505"/>
      <c r="D1637" s="54">
        <v>0</v>
      </c>
      <c r="E1637" s="25">
        <v>0</v>
      </c>
      <c r="F1637" s="25">
        <v>70000</v>
      </c>
      <c r="G1637" s="15" t="e">
        <f t="shared" si="78"/>
        <v>#DIV/0!</v>
      </c>
      <c r="H1637" s="16" t="e">
        <f t="shared" si="79"/>
        <v>#DIV/0!</v>
      </c>
      <c r="I1637" s="16">
        <f>F1637/F1639</f>
        <v>0.28466352872570166</v>
      </c>
    </row>
    <row r="1638" spans="1:9" s="135" customFormat="1" ht="20.25" customHeight="1">
      <c r="A1638" s="4">
        <v>300</v>
      </c>
      <c r="B1638" s="504" t="s">
        <v>981</v>
      </c>
      <c r="C1638" s="505"/>
      <c r="D1638" s="25">
        <v>0</v>
      </c>
      <c r="E1638" s="25">
        <v>114000</v>
      </c>
      <c r="F1638" s="25">
        <f>8300+27548.1</f>
        <v>35848.1</v>
      </c>
      <c r="G1638" s="15" t="e">
        <f t="shared" si="78"/>
        <v>#DIV/0!</v>
      </c>
      <c r="H1638" s="16">
        <f t="shared" si="79"/>
        <v>0.31445701754385963</v>
      </c>
      <c r="I1638" s="16">
        <f>F1638/F1639</f>
        <v>0.14578066634445466</v>
      </c>
    </row>
    <row r="1639" spans="1:9" s="135" customFormat="1" ht="30" customHeight="1">
      <c r="A1639" s="17"/>
      <c r="B1639" s="548" t="s">
        <v>95</v>
      </c>
      <c r="C1639" s="549"/>
      <c r="D1639" s="288">
        <f>D1634+D1635+D1636+D1637+D1638</f>
        <v>117727.06000000001</v>
      </c>
      <c r="E1639" s="211">
        <f>E1634+E1635+E1636+E1637+E1638</f>
        <v>396000</v>
      </c>
      <c r="F1639" s="211">
        <f>F1634+F1635+F1636+F1637+F1638</f>
        <v>245904.35</v>
      </c>
      <c r="G1639" s="212">
        <f t="shared" si="78"/>
        <v>2.08876659282921</v>
      </c>
      <c r="H1639" s="213">
        <f t="shared" si="79"/>
        <v>0.6209705808080809</v>
      </c>
      <c r="I1639" s="213">
        <f>SUM(I1634:I1638)</f>
        <v>1</v>
      </c>
    </row>
    <row r="1640" s="135" customFormat="1" ht="20.25" customHeight="1">
      <c r="A1640" s="49"/>
    </row>
    <row r="1641" spans="1:9" s="135" customFormat="1" ht="20.25" customHeight="1">
      <c r="A1641" s="99"/>
      <c r="B1641" s="600" t="s">
        <v>1155</v>
      </c>
      <c r="C1641" s="600"/>
      <c r="D1641" s="600"/>
      <c r="E1641" s="600"/>
      <c r="F1641" s="600"/>
      <c r="G1641" s="600"/>
      <c r="H1641" s="600"/>
      <c r="I1641" s="600"/>
    </row>
    <row r="1642" spans="1:9" s="135" customFormat="1" ht="20.25" customHeight="1">
      <c r="A1642" s="600" t="s">
        <v>1156</v>
      </c>
      <c r="B1642" s="600"/>
      <c r="C1642" s="600"/>
      <c r="D1642" s="600"/>
      <c r="E1642" s="600"/>
      <c r="F1642" s="600"/>
      <c r="G1642" s="600"/>
      <c r="H1642" s="600"/>
      <c r="I1642" s="600"/>
    </row>
    <row r="1643" spans="1:9" s="135" customFormat="1" ht="20.25" customHeight="1">
      <c r="A1643" s="600" t="s">
        <v>1157</v>
      </c>
      <c r="B1643" s="600"/>
      <c r="C1643" s="600"/>
      <c r="D1643" s="600"/>
      <c r="E1643" s="600"/>
      <c r="F1643" s="600"/>
      <c r="G1643" s="600"/>
      <c r="H1643" s="600"/>
      <c r="I1643" s="600"/>
    </row>
    <row r="1644" spans="1:9" s="135" customFormat="1" ht="20.25" customHeight="1">
      <c r="A1644" s="503" t="s">
        <v>1158</v>
      </c>
      <c r="B1644" s="503"/>
      <c r="C1644" s="503"/>
      <c r="D1644" s="503"/>
      <c r="E1644" s="503"/>
      <c r="F1644" s="503"/>
      <c r="G1644" s="503"/>
      <c r="H1644" s="503"/>
      <c r="I1644" s="503"/>
    </row>
    <row r="1645" spans="1:9" s="135" customFormat="1" ht="20.25" customHeight="1">
      <c r="A1645" s="486" t="s">
        <v>377</v>
      </c>
      <c r="B1645" s="486"/>
      <c r="C1645" s="486"/>
      <c r="D1645" s="486"/>
      <c r="E1645" s="486"/>
      <c r="F1645" s="486"/>
      <c r="G1645" s="486"/>
      <c r="H1645" s="486"/>
      <c r="I1645" s="486"/>
    </row>
    <row r="1646" spans="1:9" s="135" customFormat="1" ht="20.25" customHeight="1">
      <c r="A1646" s="486" t="s">
        <v>378</v>
      </c>
      <c r="B1646" s="486"/>
      <c r="C1646" s="486"/>
      <c r="D1646" s="486"/>
      <c r="E1646" s="486"/>
      <c r="F1646" s="486"/>
      <c r="G1646" s="486"/>
      <c r="H1646" s="486"/>
      <c r="I1646" s="486"/>
    </row>
    <row r="1647" spans="1:9" s="135" customFormat="1" ht="20.25" customHeight="1">
      <c r="A1647" s="486" t="s">
        <v>965</v>
      </c>
      <c r="B1647" s="486"/>
      <c r="C1647" s="486"/>
      <c r="D1647" s="486"/>
      <c r="E1647" s="486"/>
      <c r="F1647" s="486"/>
      <c r="G1647" s="486"/>
      <c r="H1647" s="486"/>
      <c r="I1647" s="486"/>
    </row>
    <row r="1648" spans="1:9" s="135" customFormat="1" ht="20.25" customHeight="1">
      <c r="A1648" s="486" t="s">
        <v>379</v>
      </c>
      <c r="B1648" s="486"/>
      <c r="C1648" s="486"/>
      <c r="D1648" s="486"/>
      <c r="E1648" s="486"/>
      <c r="F1648" s="486"/>
      <c r="G1648" s="486"/>
      <c r="H1648" s="486"/>
      <c r="I1648" s="486"/>
    </row>
    <row r="1649" spans="1:9" s="135" customFormat="1" ht="20.25" customHeight="1">
      <c r="A1649" s="486" t="s">
        <v>380</v>
      </c>
      <c r="B1649" s="486"/>
      <c r="C1649" s="486"/>
      <c r="D1649" s="486"/>
      <c r="E1649" s="486"/>
      <c r="F1649" s="486"/>
      <c r="G1649" s="486"/>
      <c r="H1649" s="486"/>
      <c r="I1649" s="486"/>
    </row>
    <row r="1650" spans="1:9" s="135" customFormat="1" ht="20.25" customHeight="1">
      <c r="A1650" s="486" t="s">
        <v>381</v>
      </c>
      <c r="B1650" s="486"/>
      <c r="C1650" s="486"/>
      <c r="D1650" s="486"/>
      <c r="E1650" s="486"/>
      <c r="F1650" s="486"/>
      <c r="G1650" s="486"/>
      <c r="H1650" s="486"/>
      <c r="I1650" s="486"/>
    </row>
    <row r="1651" spans="1:9" s="135" customFormat="1" ht="20.25" customHeight="1">
      <c r="A1651" s="486" t="s">
        <v>382</v>
      </c>
      <c r="B1651" s="486"/>
      <c r="C1651" s="486"/>
      <c r="D1651" s="486"/>
      <c r="E1651" s="486"/>
      <c r="F1651" s="486"/>
      <c r="G1651" s="486"/>
      <c r="H1651" s="486"/>
      <c r="I1651" s="486"/>
    </row>
    <row r="1652" spans="1:9" s="135" customFormat="1" ht="20.25" customHeight="1">
      <c r="A1652" s="486" t="s">
        <v>1243</v>
      </c>
      <c r="B1652" s="486"/>
      <c r="C1652" s="486"/>
      <c r="D1652" s="486"/>
      <c r="E1652" s="486"/>
      <c r="F1652" s="486"/>
      <c r="G1652" s="486"/>
      <c r="H1652" s="486"/>
      <c r="I1652" s="486"/>
    </row>
    <row r="1653" spans="1:9" s="135" customFormat="1" ht="20.25" customHeight="1">
      <c r="A1653" s="486" t="s">
        <v>1244</v>
      </c>
      <c r="B1653" s="486"/>
      <c r="C1653" s="486"/>
      <c r="D1653" s="486"/>
      <c r="E1653" s="486"/>
      <c r="F1653" s="486"/>
      <c r="G1653" s="486"/>
      <c r="H1653" s="486"/>
      <c r="I1653" s="486"/>
    </row>
    <row r="1654" spans="1:9" s="135" customFormat="1" ht="20.25" customHeight="1">
      <c r="A1654" s="486" t="s">
        <v>652</v>
      </c>
      <c r="B1654" s="486"/>
      <c r="C1654" s="486"/>
      <c r="D1654" s="486"/>
      <c r="E1654" s="486"/>
      <c r="F1654" s="486"/>
      <c r="G1654" s="486"/>
      <c r="H1654" s="486"/>
      <c r="I1654" s="486"/>
    </row>
    <row r="1655" spans="1:9" s="135" customFormat="1" ht="20.25" customHeight="1">
      <c r="A1655" s="486" t="s">
        <v>1245</v>
      </c>
      <c r="B1655" s="486"/>
      <c r="C1655" s="486"/>
      <c r="D1655" s="486"/>
      <c r="E1655" s="486"/>
      <c r="F1655" s="486"/>
      <c r="G1655" s="486"/>
      <c r="H1655" s="486"/>
      <c r="I1655" s="486"/>
    </row>
    <row r="1656" spans="1:9" s="135" customFormat="1" ht="20.25" customHeight="1">
      <c r="A1656" s="486" t="s">
        <v>1246</v>
      </c>
      <c r="B1656" s="486"/>
      <c r="C1656" s="486"/>
      <c r="D1656" s="486"/>
      <c r="E1656" s="486"/>
      <c r="F1656" s="486"/>
      <c r="G1656" s="486"/>
      <c r="H1656" s="486"/>
      <c r="I1656" s="486"/>
    </row>
    <row r="1657" spans="1:9" s="135" customFormat="1" ht="20.25" customHeight="1">
      <c r="A1657" s="486" t="s">
        <v>1247</v>
      </c>
      <c r="B1657" s="486"/>
      <c r="C1657" s="486"/>
      <c r="D1657" s="486"/>
      <c r="E1657" s="486"/>
      <c r="F1657" s="486"/>
      <c r="G1657" s="486"/>
      <c r="H1657" s="486"/>
      <c r="I1657" s="486"/>
    </row>
    <row r="1658" spans="1:9" s="135" customFormat="1" ht="20.25" customHeight="1">
      <c r="A1658" s="39"/>
      <c r="B1658" s="39"/>
      <c r="C1658" s="39"/>
      <c r="D1658" s="39"/>
      <c r="E1658" s="39"/>
      <c r="F1658" s="39"/>
      <c r="G1658" s="39"/>
      <c r="H1658" s="39"/>
      <c r="I1658" s="39"/>
    </row>
    <row r="1659" spans="1:9" s="135" customFormat="1" ht="20.25" customHeight="1">
      <c r="A1659" s="486"/>
      <c r="B1659" s="486"/>
      <c r="C1659" s="486"/>
      <c r="D1659" s="486"/>
      <c r="E1659" s="486"/>
      <c r="F1659" s="486"/>
      <c r="G1659" s="486"/>
      <c r="H1659" s="486"/>
      <c r="I1659" s="486"/>
    </row>
    <row r="1660" spans="1:9" s="135" customFormat="1" ht="27" customHeight="1">
      <c r="A1660" s="273"/>
      <c r="B1660" s="605" t="s">
        <v>992</v>
      </c>
      <c r="C1660" s="605"/>
      <c r="D1660" s="605"/>
      <c r="E1660" s="273"/>
      <c r="F1660" s="273"/>
      <c r="G1660" s="273"/>
      <c r="H1660" s="273"/>
      <c r="I1660" s="273"/>
    </row>
    <row r="1661" spans="1:9" s="135" customFormat="1" ht="20.25" customHeight="1">
      <c r="A1661" s="273"/>
      <c r="B1661" s="281"/>
      <c r="C1661" s="281"/>
      <c r="D1661" s="281"/>
      <c r="E1661" s="273"/>
      <c r="F1661" s="273"/>
      <c r="G1661" s="273"/>
      <c r="H1661" s="273"/>
      <c r="I1661" s="273"/>
    </row>
    <row r="1662" spans="1:9" s="135" customFormat="1" ht="20.25" customHeight="1">
      <c r="A1662" s="273"/>
      <c r="B1662" s="281"/>
      <c r="C1662" s="281"/>
      <c r="D1662" s="281"/>
      <c r="E1662" s="273"/>
      <c r="F1662" s="273"/>
      <c r="G1662" s="273"/>
      <c r="H1662" s="273"/>
      <c r="I1662" s="273"/>
    </row>
    <row r="1663" spans="1:9" s="135" customFormat="1" ht="20.25" customHeight="1">
      <c r="A1663" s="273"/>
      <c r="B1663" s="281"/>
      <c r="C1663" s="281"/>
      <c r="D1663" s="281"/>
      <c r="E1663" s="273"/>
      <c r="F1663" s="273"/>
      <c r="G1663" s="273"/>
      <c r="H1663" s="273"/>
      <c r="I1663" s="273"/>
    </row>
    <row r="1664" spans="1:9" s="135" customFormat="1" ht="20.25" customHeight="1">
      <c r="A1664" s="273"/>
      <c r="B1664" s="281"/>
      <c r="C1664" s="281"/>
      <c r="D1664" s="281"/>
      <c r="E1664" s="273"/>
      <c r="F1664" s="273"/>
      <c r="G1664" s="273"/>
      <c r="H1664" s="273"/>
      <c r="I1664" s="273"/>
    </row>
    <row r="1665" spans="1:8" s="135" customFormat="1" ht="20.25" customHeight="1">
      <c r="A1665" s="273"/>
      <c r="B1665" s="273"/>
      <c r="C1665" s="273"/>
      <c r="D1665" s="273"/>
      <c r="E1665" s="273"/>
      <c r="F1665" s="273"/>
      <c r="G1665" s="273"/>
      <c r="H1665" s="273"/>
    </row>
    <row r="1666" spans="1:9" s="135" customFormat="1" ht="27" customHeight="1">
      <c r="A1666" s="273"/>
      <c r="B1666" s="605" t="s">
        <v>993</v>
      </c>
      <c r="C1666" s="605"/>
      <c r="D1666" s="605"/>
      <c r="E1666" s="605"/>
      <c r="F1666" s="273"/>
      <c r="G1666" s="273"/>
      <c r="H1666" s="273"/>
      <c r="I1666" s="273"/>
    </row>
    <row r="1667" spans="1:9" s="135" customFormat="1" ht="20.25" customHeight="1">
      <c r="A1667" s="273"/>
      <c r="B1667" s="273"/>
      <c r="C1667" s="273"/>
      <c r="D1667" s="273"/>
      <c r="E1667" s="273"/>
      <c r="F1667" s="273"/>
      <c r="G1667" s="273"/>
      <c r="H1667" s="273"/>
      <c r="I1667" s="273"/>
    </row>
    <row r="1668" spans="1:9" s="135" customFormat="1" ht="20.25" customHeight="1">
      <c r="A1668" s="273"/>
      <c r="B1668" s="273"/>
      <c r="C1668" s="273"/>
      <c r="D1668" s="273"/>
      <c r="E1668" s="273"/>
      <c r="F1668" s="273"/>
      <c r="G1668" s="273"/>
      <c r="H1668" s="273"/>
      <c r="I1668" s="273"/>
    </row>
    <row r="1669" spans="1:9" s="135" customFormat="1" ht="20.25" customHeight="1">
      <c r="A1669" s="273"/>
      <c r="B1669" s="273"/>
      <c r="C1669" s="273"/>
      <c r="D1669" s="273"/>
      <c r="E1669" s="273"/>
      <c r="F1669" s="273"/>
      <c r="G1669" s="273"/>
      <c r="H1669" s="273"/>
      <c r="I1669" s="273"/>
    </row>
    <row r="1670" spans="1:9" s="135" customFormat="1" ht="20.25" customHeight="1">
      <c r="A1670" s="273"/>
      <c r="B1670" s="273"/>
      <c r="C1670" s="273"/>
      <c r="D1670" s="273"/>
      <c r="E1670" s="273"/>
      <c r="F1670" s="273"/>
      <c r="G1670" s="273"/>
      <c r="H1670" s="273"/>
      <c r="I1670" s="273"/>
    </row>
    <row r="1671" spans="1:8" s="135" customFormat="1" ht="20.25" customHeight="1">
      <c r="A1671" s="273"/>
      <c r="B1671" s="273"/>
      <c r="C1671" s="273"/>
      <c r="D1671" s="273"/>
      <c r="E1671" s="273"/>
      <c r="F1671" s="273"/>
      <c r="G1671" s="273"/>
      <c r="H1671" s="273"/>
    </row>
    <row r="1672" spans="1:8" s="135" customFormat="1" ht="20.25" customHeight="1">
      <c r="A1672" s="273"/>
      <c r="B1672" s="273"/>
      <c r="C1672" s="273"/>
      <c r="D1672" s="273"/>
      <c r="E1672" s="273"/>
      <c r="F1672" s="273"/>
      <c r="G1672" s="273"/>
      <c r="H1672" s="273"/>
    </row>
    <row r="1673" spans="1:9" s="135" customFormat="1" ht="20.25" customHeight="1">
      <c r="A1673" s="273"/>
      <c r="B1673" s="273"/>
      <c r="C1673" s="273"/>
      <c r="D1673" s="273"/>
      <c r="E1673" s="273"/>
      <c r="F1673" s="273"/>
      <c r="G1673" s="273"/>
      <c r="H1673" s="273"/>
      <c r="I1673" s="441">
        <v>25</v>
      </c>
    </row>
    <row r="1674" spans="1:8" s="135" customFormat="1" ht="20.25" customHeight="1">
      <c r="A1674" s="273"/>
      <c r="B1674" s="273"/>
      <c r="C1674" s="273"/>
      <c r="D1674" s="273"/>
      <c r="E1674" s="273"/>
      <c r="F1674" s="273"/>
      <c r="G1674" s="273"/>
      <c r="H1674" s="273"/>
    </row>
    <row r="1675" spans="1:9" s="135" customFormat="1" ht="20.25" customHeight="1">
      <c r="A1675" s="273"/>
      <c r="B1675" s="273"/>
      <c r="C1675" s="273"/>
      <c r="D1675" s="273"/>
      <c r="E1675" s="273"/>
      <c r="F1675" s="273"/>
      <c r="G1675" s="273"/>
      <c r="H1675" s="273"/>
      <c r="I1675" s="209"/>
    </row>
    <row r="1676" spans="1:9" s="135" customFormat="1" ht="20.25" customHeight="1">
      <c r="A1676"/>
      <c r="B1676"/>
      <c r="C1676"/>
      <c r="D1676"/>
      <c r="E1676"/>
      <c r="F1676"/>
      <c r="G1676"/>
      <c r="H1676"/>
      <c r="I1676"/>
    </row>
    <row r="1677" spans="1:9" s="135" customFormat="1" ht="20.25" customHeight="1">
      <c r="A1677" s="303"/>
      <c r="B1677" s="303"/>
      <c r="C1677" s="303"/>
      <c r="D1677" s="303"/>
      <c r="E1677" s="303"/>
      <c r="F1677"/>
      <c r="G1677"/>
      <c r="H1677"/>
      <c r="I1677"/>
    </row>
    <row r="1678" spans="1:9" s="135" customFormat="1" ht="30" customHeight="1">
      <c r="A1678" s="608" t="s">
        <v>280</v>
      </c>
      <c r="B1678" s="608"/>
      <c r="C1678" s="608"/>
      <c r="D1678" s="608"/>
      <c r="E1678" s="608"/>
      <c r="F1678" s="608"/>
      <c r="I1678" s="272"/>
    </row>
    <row r="1679" spans="1:9" s="135" customFormat="1" ht="20.25" customHeight="1">
      <c r="A1679" s="278"/>
      <c r="B1679" s="278"/>
      <c r="C1679" s="278"/>
      <c r="D1679" s="278"/>
      <c r="E1679" s="278"/>
      <c r="F1679" s="278"/>
      <c r="I1679" s="272"/>
    </row>
    <row r="1680" spans="1:9" s="135" customFormat="1" ht="20.25" customHeight="1">
      <c r="A1680" s="278"/>
      <c r="B1680" s="278"/>
      <c r="C1680" s="278"/>
      <c r="D1680" s="278"/>
      <c r="E1680" s="278"/>
      <c r="I1680" s="272"/>
    </row>
    <row r="1681" spans="1:8" s="135" customFormat="1" ht="20.25" customHeight="1">
      <c r="A1681"/>
      <c r="B1681"/>
      <c r="C1681"/>
      <c r="D1681"/>
      <c r="E1681"/>
      <c r="F1681"/>
      <c r="G1681"/>
      <c r="H1681"/>
    </row>
    <row r="1682" spans="1:9" s="135" customFormat="1" ht="20.25" customHeight="1">
      <c r="A1682" s="599" t="s">
        <v>430</v>
      </c>
      <c r="B1682" s="599"/>
      <c r="C1682" s="599"/>
      <c r="D1682" s="599"/>
      <c r="E1682" s="599"/>
      <c r="F1682" s="599"/>
      <c r="G1682" s="599"/>
      <c r="H1682" s="599"/>
      <c r="I1682" s="599"/>
    </row>
    <row r="1683" s="135" customFormat="1" ht="20.25" customHeight="1">
      <c r="I1683" s="272"/>
    </row>
    <row r="1684" spans="1:8" s="135" customFormat="1" ht="20.25" customHeight="1">
      <c r="A1684" s="40"/>
      <c r="B1684" s="40"/>
      <c r="C1684"/>
      <c r="D1684" s="487" t="s">
        <v>682</v>
      </c>
      <c r="E1684" s="487"/>
      <c r="F1684" s="487"/>
      <c r="G1684" s="40"/>
      <c r="H1684" s="40"/>
    </row>
    <row r="1685" spans="1:8" s="135" customFormat="1" ht="20.25" customHeight="1">
      <c r="A1685" s="40"/>
      <c r="B1685" s="40"/>
      <c r="C1685" s="40"/>
      <c r="D1685" s="40"/>
      <c r="E1685" s="40"/>
      <c r="F1685" s="40"/>
      <c r="G1685" s="40"/>
      <c r="H1685" s="40"/>
    </row>
    <row r="1686" spans="1:9" s="135" customFormat="1" ht="20.25" customHeight="1">
      <c r="A1686" s="22" t="s">
        <v>683</v>
      </c>
      <c r="B1686" s="491" t="s">
        <v>688</v>
      </c>
      <c r="C1686" s="492"/>
      <c r="D1686" s="5" t="s">
        <v>686</v>
      </c>
      <c r="E1686" s="5" t="s">
        <v>712</v>
      </c>
      <c r="F1686" s="5" t="s">
        <v>686</v>
      </c>
      <c r="G1686" s="510" t="s">
        <v>713</v>
      </c>
      <c r="H1686" s="511"/>
      <c r="I1686" s="6" t="s">
        <v>714</v>
      </c>
    </row>
    <row r="1687" spans="1:9" s="135" customFormat="1" ht="20.25" customHeight="1">
      <c r="A1687" s="23" t="s">
        <v>97</v>
      </c>
      <c r="B1687" s="493"/>
      <c r="C1687" s="494"/>
      <c r="D1687" s="7" t="s">
        <v>656</v>
      </c>
      <c r="E1687" s="7" t="s">
        <v>715</v>
      </c>
      <c r="F1687" s="7" t="s">
        <v>657</v>
      </c>
      <c r="G1687" s="8" t="s">
        <v>706</v>
      </c>
      <c r="H1687" s="9" t="s">
        <v>707</v>
      </c>
      <c r="I1687" s="10" t="s">
        <v>717</v>
      </c>
    </row>
    <row r="1688" spans="1:9" s="135" customFormat="1" ht="20.25" customHeight="1">
      <c r="A1688" s="13">
        <v>1</v>
      </c>
      <c r="B1688" s="295">
        <v>2</v>
      </c>
      <c r="C1688" s="296"/>
      <c r="D1688" s="12">
        <v>3</v>
      </c>
      <c r="E1688" s="12">
        <v>4</v>
      </c>
      <c r="F1688" s="12">
        <v>5</v>
      </c>
      <c r="G1688" s="12">
        <v>6</v>
      </c>
      <c r="H1688" s="12">
        <v>7</v>
      </c>
      <c r="I1688" s="13">
        <v>8</v>
      </c>
    </row>
    <row r="1689" spans="1:9" s="135" customFormat="1" ht="20.25" customHeight="1">
      <c r="A1689" s="4">
        <v>111</v>
      </c>
      <c r="B1689" s="504" t="s">
        <v>540</v>
      </c>
      <c r="C1689" s="505"/>
      <c r="D1689" s="25">
        <v>12314.37</v>
      </c>
      <c r="E1689" s="25">
        <v>40000</v>
      </c>
      <c r="F1689" s="25">
        <v>14117.57</v>
      </c>
      <c r="G1689" s="15">
        <f aca="true" t="shared" si="80" ref="G1689:G1694">F1689/D1689</f>
        <v>1.1464305522734821</v>
      </c>
      <c r="H1689" s="27">
        <f aca="true" t="shared" si="81" ref="H1689:H1694">F1689/E1689</f>
        <v>0.35293925</v>
      </c>
      <c r="I1689" s="16">
        <f>F1689/F1694</f>
        <v>0.17962685893950764</v>
      </c>
    </row>
    <row r="1690" spans="1:9" s="135" customFormat="1" ht="20.25" customHeight="1">
      <c r="A1690" s="4">
        <v>130</v>
      </c>
      <c r="B1690" s="504" t="s">
        <v>541</v>
      </c>
      <c r="C1690" s="505"/>
      <c r="D1690" s="234">
        <v>6210.07</v>
      </c>
      <c r="E1690" s="14">
        <v>37700</v>
      </c>
      <c r="F1690" s="14">
        <v>15059.84</v>
      </c>
      <c r="G1690" s="15">
        <f t="shared" si="80"/>
        <v>2.4250676723450786</v>
      </c>
      <c r="H1690" s="16">
        <f t="shared" si="81"/>
        <v>0.3994652519893899</v>
      </c>
      <c r="I1690" s="16">
        <f>F1690/F1694</f>
        <v>0.19161596190644387</v>
      </c>
    </row>
    <row r="1691" spans="1:9" s="135" customFormat="1" ht="20.25" customHeight="1">
      <c r="A1691" s="4">
        <v>132</v>
      </c>
      <c r="B1691" s="504" t="s">
        <v>542</v>
      </c>
      <c r="C1691" s="505"/>
      <c r="D1691" s="238">
        <v>0</v>
      </c>
      <c r="E1691" s="25">
        <v>2000</v>
      </c>
      <c r="F1691" s="25">
        <v>19.46</v>
      </c>
      <c r="G1691" s="15" t="e">
        <f t="shared" si="80"/>
        <v>#DIV/0!</v>
      </c>
      <c r="H1691" s="16">
        <f t="shared" si="81"/>
        <v>0.00973</v>
      </c>
      <c r="I1691" s="16">
        <f>F1691/F1694</f>
        <v>0.00024760200763749137</v>
      </c>
    </row>
    <row r="1692" spans="1:9" s="135" customFormat="1" ht="20.25" customHeight="1">
      <c r="A1692" s="4">
        <v>200</v>
      </c>
      <c r="B1692" s="504" t="s">
        <v>543</v>
      </c>
      <c r="C1692" s="505"/>
      <c r="D1692" s="54">
        <v>0</v>
      </c>
      <c r="E1692" s="25">
        <v>0</v>
      </c>
      <c r="F1692" s="25">
        <v>0</v>
      </c>
      <c r="G1692" s="15" t="e">
        <f t="shared" si="80"/>
        <v>#DIV/0!</v>
      </c>
      <c r="H1692" s="16" t="e">
        <f t="shared" si="81"/>
        <v>#DIV/0!</v>
      </c>
      <c r="I1692" s="16">
        <f>F1692/F1694</f>
        <v>0</v>
      </c>
    </row>
    <row r="1693" spans="1:9" s="135" customFormat="1" ht="20.25" customHeight="1">
      <c r="A1693" s="4">
        <v>300</v>
      </c>
      <c r="B1693" s="504" t="s">
        <v>544</v>
      </c>
      <c r="C1693" s="505"/>
      <c r="D1693" s="25">
        <v>0</v>
      </c>
      <c r="E1693" s="25">
        <v>100000</v>
      </c>
      <c r="F1693" s="25">
        <v>49397</v>
      </c>
      <c r="G1693" s="15" t="e">
        <f t="shared" si="80"/>
        <v>#DIV/0!</v>
      </c>
      <c r="H1693" s="16">
        <f t="shared" si="81"/>
        <v>0.49397</v>
      </c>
      <c r="I1693" s="16">
        <f>F1693/F1694</f>
        <v>0.6285095771464111</v>
      </c>
    </row>
    <row r="1694" spans="1:9" s="135" customFormat="1" ht="30" customHeight="1">
      <c r="A1694" s="17"/>
      <c r="B1694" s="548" t="s">
        <v>95</v>
      </c>
      <c r="C1694" s="549"/>
      <c r="D1694" s="288">
        <f>D1689+D1690+D1691+D1692+D1693</f>
        <v>18524.440000000002</v>
      </c>
      <c r="E1694" s="211">
        <f>E1689+E1690+E1691+E1692+E1693</f>
        <v>179700</v>
      </c>
      <c r="F1694" s="211">
        <f>F1689+F1690+F1691+F1692+F1693</f>
        <v>78593.87</v>
      </c>
      <c r="G1694" s="212">
        <f t="shared" si="80"/>
        <v>4.2427123303052605</v>
      </c>
      <c r="H1694" s="213">
        <f t="shared" si="81"/>
        <v>0.43736154702281577</v>
      </c>
      <c r="I1694" s="213">
        <f>SUM(I1689:I1693)</f>
        <v>1</v>
      </c>
    </row>
    <row r="1695" spans="1:8" s="135" customFormat="1" ht="20.25" customHeight="1">
      <c r="A1695" s="49"/>
      <c r="B1695" s="49"/>
      <c r="C1695" s="49"/>
      <c r="D1695" s="49"/>
      <c r="E1695" s="208"/>
      <c r="F1695" s="49"/>
      <c r="G1695" s="49"/>
      <c r="H1695" s="40"/>
    </row>
    <row r="1696" spans="1:9" s="135" customFormat="1" ht="20.25" customHeight="1">
      <c r="A1696" s="99"/>
      <c r="B1696" s="600" t="s">
        <v>1248</v>
      </c>
      <c r="C1696" s="600"/>
      <c r="D1696" s="600"/>
      <c r="E1696" s="600"/>
      <c r="F1696" s="600"/>
      <c r="G1696" s="600"/>
      <c r="H1696" s="600"/>
      <c r="I1696" s="600"/>
    </row>
    <row r="1697" spans="1:9" s="135" customFormat="1" ht="20.25" customHeight="1">
      <c r="A1697" s="600" t="s">
        <v>428</v>
      </c>
      <c r="B1697" s="600"/>
      <c r="C1697" s="600"/>
      <c r="D1697" s="600"/>
      <c r="E1697" s="600"/>
      <c r="F1697" s="600"/>
      <c r="G1697" s="600"/>
      <c r="H1697" s="600"/>
      <c r="I1697" s="600"/>
    </row>
    <row r="1698" spans="1:9" s="135" customFormat="1" ht="20.25" customHeight="1">
      <c r="A1698" s="600" t="s">
        <v>429</v>
      </c>
      <c r="B1698" s="600"/>
      <c r="C1698" s="600"/>
      <c r="D1698" s="600"/>
      <c r="E1698" s="600"/>
      <c r="F1698" s="600"/>
      <c r="G1698" s="600"/>
      <c r="H1698" s="600"/>
      <c r="I1698" s="600"/>
    </row>
    <row r="1699" spans="1:9" s="135" customFormat="1" ht="20.25" customHeight="1">
      <c r="A1699" s="503" t="s">
        <v>431</v>
      </c>
      <c r="B1699" s="503"/>
      <c r="C1699" s="503"/>
      <c r="D1699" s="503"/>
      <c r="E1699" s="503"/>
      <c r="F1699" s="503"/>
      <c r="G1699" s="503"/>
      <c r="H1699" s="503"/>
      <c r="I1699" s="503"/>
    </row>
    <row r="1700" spans="1:9" s="135" customFormat="1" ht="20.25" customHeight="1">
      <c r="A1700" s="486" t="s">
        <v>432</v>
      </c>
      <c r="B1700" s="486"/>
      <c r="C1700" s="486"/>
      <c r="D1700" s="486"/>
      <c r="E1700" s="486"/>
      <c r="F1700" s="486"/>
      <c r="G1700" s="486"/>
      <c r="H1700" s="486"/>
      <c r="I1700" s="486"/>
    </row>
    <row r="1701" spans="1:9" s="135" customFormat="1" ht="20.25" customHeight="1">
      <c r="A1701" s="486" t="s">
        <v>433</v>
      </c>
      <c r="B1701" s="486"/>
      <c r="C1701" s="486"/>
      <c r="D1701" s="486"/>
      <c r="E1701" s="486"/>
      <c r="F1701" s="486"/>
      <c r="G1701" s="486"/>
      <c r="H1701" s="486"/>
      <c r="I1701" s="486"/>
    </row>
    <row r="1702" spans="1:9" s="135" customFormat="1" ht="20.25" customHeight="1">
      <c r="A1702" s="486" t="s">
        <v>434</v>
      </c>
      <c r="B1702" s="486"/>
      <c r="C1702" s="486"/>
      <c r="D1702" s="486"/>
      <c r="E1702" s="486"/>
      <c r="F1702" s="486"/>
      <c r="G1702" s="486"/>
      <c r="H1702" s="486"/>
      <c r="I1702" s="486"/>
    </row>
    <row r="1703" spans="1:9" s="135" customFormat="1" ht="20.25" customHeight="1">
      <c r="A1703" s="486" t="s">
        <v>435</v>
      </c>
      <c r="B1703" s="486"/>
      <c r="C1703" s="486"/>
      <c r="D1703" s="486"/>
      <c r="E1703" s="486"/>
      <c r="F1703" s="486"/>
      <c r="G1703" s="486"/>
      <c r="H1703" s="486"/>
      <c r="I1703" s="486"/>
    </row>
    <row r="1704" spans="1:9" s="135" customFormat="1" ht="20.25" customHeight="1">
      <c r="A1704" s="486" t="s">
        <v>436</v>
      </c>
      <c r="B1704" s="486"/>
      <c r="C1704" s="486"/>
      <c r="D1704" s="486"/>
      <c r="E1704" s="486"/>
      <c r="F1704" s="486"/>
      <c r="G1704" s="486"/>
      <c r="H1704" s="486"/>
      <c r="I1704" s="486"/>
    </row>
    <row r="1705" spans="1:9" s="135" customFormat="1" ht="20.25" customHeight="1">
      <c r="A1705" s="486" t="s">
        <v>437</v>
      </c>
      <c r="B1705" s="486"/>
      <c r="C1705" s="486"/>
      <c r="D1705" s="486"/>
      <c r="E1705" s="486"/>
      <c r="F1705" s="486"/>
      <c r="G1705" s="486"/>
      <c r="H1705" s="486"/>
      <c r="I1705" s="486"/>
    </row>
    <row r="1706" spans="1:9" s="135" customFormat="1" ht="20.25" customHeight="1">
      <c r="A1706" s="486" t="s">
        <v>438</v>
      </c>
      <c r="B1706" s="486"/>
      <c r="C1706" s="486"/>
      <c r="D1706" s="486"/>
      <c r="E1706" s="486"/>
      <c r="F1706" s="486"/>
      <c r="G1706" s="486"/>
      <c r="H1706" s="486"/>
      <c r="I1706" s="486"/>
    </row>
    <row r="1707" spans="1:9" s="135" customFormat="1" ht="20.25" customHeight="1">
      <c r="A1707" s="486" t="s">
        <v>439</v>
      </c>
      <c r="B1707" s="486"/>
      <c r="C1707" s="486"/>
      <c r="D1707" s="486"/>
      <c r="E1707" s="486"/>
      <c r="F1707" s="486"/>
      <c r="G1707" s="486"/>
      <c r="H1707" s="486"/>
      <c r="I1707" s="486"/>
    </row>
    <row r="1708" spans="1:9" s="135" customFormat="1" ht="20.25" customHeight="1">
      <c r="A1708" s="486" t="s">
        <v>440</v>
      </c>
      <c r="B1708" s="486"/>
      <c r="C1708" s="486"/>
      <c r="D1708" s="486"/>
      <c r="E1708" s="486"/>
      <c r="F1708" s="486"/>
      <c r="G1708" s="486"/>
      <c r="H1708" s="486"/>
      <c r="I1708" s="486"/>
    </row>
    <row r="1709" spans="1:9" s="135" customFormat="1" ht="20.25" customHeight="1">
      <c r="A1709" s="273"/>
      <c r="B1709" s="273"/>
      <c r="C1709" s="273"/>
      <c r="D1709" s="273"/>
      <c r="E1709" s="273"/>
      <c r="F1709" s="273"/>
      <c r="G1709" s="273"/>
      <c r="H1709" s="273"/>
      <c r="I1709" s="273"/>
    </row>
    <row r="1710" spans="1:9" s="135" customFormat="1" ht="20.25" customHeight="1">
      <c r="A1710" s="273"/>
      <c r="E1710" s="273"/>
      <c r="F1710" s="273"/>
      <c r="G1710" s="273"/>
      <c r="H1710" s="273"/>
      <c r="I1710" s="209"/>
    </row>
    <row r="1711" spans="1:8" s="135" customFormat="1" ht="20.25" customHeight="1">
      <c r="A1711" s="273"/>
      <c r="B1711" s="281"/>
      <c r="C1711" s="281"/>
      <c r="D1711" s="281"/>
      <c r="E1711" s="273"/>
      <c r="F1711" s="273"/>
      <c r="G1711" s="273"/>
      <c r="H1711" s="273"/>
    </row>
    <row r="1712" spans="1:8" s="135" customFormat="1" ht="20.25" customHeight="1">
      <c r="A1712" s="273"/>
      <c r="B1712" s="281"/>
      <c r="C1712" s="281"/>
      <c r="D1712" s="281"/>
      <c r="E1712" s="273"/>
      <c r="F1712" s="273"/>
      <c r="G1712" s="273"/>
      <c r="H1712" s="273"/>
    </row>
    <row r="1713" spans="1:9" s="135" customFormat="1" ht="20.25" customHeight="1">
      <c r="A1713" s="273"/>
      <c r="B1713" s="281"/>
      <c r="C1713" s="281"/>
      <c r="D1713" s="281"/>
      <c r="E1713" s="273"/>
      <c r="F1713" s="273"/>
      <c r="G1713" s="273"/>
      <c r="H1713" s="273"/>
      <c r="I1713" s="273"/>
    </row>
    <row r="1714" spans="1:9" s="135" customFormat="1" ht="27" customHeight="1">
      <c r="A1714" s="273"/>
      <c r="B1714" s="297" t="s">
        <v>992</v>
      </c>
      <c r="C1714" s="297"/>
      <c r="D1714" s="297"/>
      <c r="E1714" s="273"/>
      <c r="F1714" s="273"/>
      <c r="G1714" s="273"/>
      <c r="H1714" s="273"/>
      <c r="I1714" s="273"/>
    </row>
    <row r="1715" spans="1:9" s="135" customFormat="1" ht="20.25" customHeight="1">
      <c r="A1715" s="273"/>
      <c r="B1715" s="281"/>
      <c r="C1715" s="281"/>
      <c r="D1715" s="281"/>
      <c r="E1715" s="273"/>
      <c r="F1715" s="273"/>
      <c r="G1715" s="273"/>
      <c r="H1715" s="273"/>
      <c r="I1715" s="273"/>
    </row>
    <row r="1716" spans="1:9" s="135" customFormat="1" ht="20.25" customHeight="1">
      <c r="A1716" s="273"/>
      <c r="B1716" s="281"/>
      <c r="C1716" s="281"/>
      <c r="D1716" s="281"/>
      <c r="E1716" s="273"/>
      <c r="F1716" s="273"/>
      <c r="G1716" s="273"/>
      <c r="H1716" s="273"/>
      <c r="I1716" s="273"/>
    </row>
    <row r="1717" spans="1:9" s="135" customFormat="1" ht="20.25" customHeight="1">
      <c r="A1717" s="273"/>
      <c r="B1717" s="281"/>
      <c r="C1717" s="281"/>
      <c r="D1717" s="281"/>
      <c r="E1717" s="273"/>
      <c r="F1717" s="273"/>
      <c r="G1717" s="273"/>
      <c r="H1717" s="273"/>
      <c r="I1717" s="273"/>
    </row>
    <row r="1718" spans="1:9" s="135" customFormat="1" ht="20.25" customHeight="1">
      <c r="A1718" s="273"/>
      <c r="B1718" s="281"/>
      <c r="C1718" s="281"/>
      <c r="D1718" s="281"/>
      <c r="E1718" s="273"/>
      <c r="F1718" s="273"/>
      <c r="G1718" s="273"/>
      <c r="H1718" s="273"/>
      <c r="I1718" s="273"/>
    </row>
    <row r="1719" spans="1:9" s="135" customFormat="1" ht="20.25" customHeight="1">
      <c r="A1719" s="273"/>
      <c r="B1719" s="281"/>
      <c r="C1719" s="281"/>
      <c r="D1719" s="281"/>
      <c r="E1719" s="273"/>
      <c r="F1719" s="273"/>
      <c r="G1719" s="273"/>
      <c r="H1719" s="273"/>
      <c r="I1719" s="273"/>
    </row>
    <row r="1720" spans="1:9" s="135" customFormat="1" ht="20.25" customHeight="1">
      <c r="A1720" s="273"/>
      <c r="B1720" s="281"/>
      <c r="C1720" s="281"/>
      <c r="D1720" s="281"/>
      <c r="E1720" s="273"/>
      <c r="F1720" s="273"/>
      <c r="G1720" s="273"/>
      <c r="H1720" s="273"/>
      <c r="I1720" s="273"/>
    </row>
    <row r="1721" spans="1:9" s="135" customFormat="1" ht="20.25" customHeight="1">
      <c r="A1721" s="273"/>
      <c r="B1721" s="281"/>
      <c r="C1721" s="281"/>
      <c r="D1721" s="281"/>
      <c r="E1721" s="273"/>
      <c r="F1721" s="273"/>
      <c r="G1721" s="273"/>
      <c r="H1721" s="273"/>
      <c r="I1721" s="273"/>
    </row>
    <row r="1722" spans="1:9" s="135" customFormat="1" ht="20.25" customHeight="1">
      <c r="A1722" s="273"/>
      <c r="B1722" s="273"/>
      <c r="C1722" s="273"/>
      <c r="D1722" s="273"/>
      <c r="E1722" s="273"/>
      <c r="F1722" s="273"/>
      <c r="G1722" s="273"/>
      <c r="H1722" s="273"/>
      <c r="I1722" s="273"/>
    </row>
    <row r="1723" spans="1:9" s="135" customFormat="1" ht="20.25" customHeight="1">
      <c r="A1723" s="273"/>
      <c r="B1723" s="273"/>
      <c r="C1723" s="273"/>
      <c r="D1723" s="273"/>
      <c r="E1723" s="273"/>
      <c r="F1723" s="273"/>
      <c r="G1723" s="273"/>
      <c r="H1723" s="273"/>
      <c r="I1723" s="273"/>
    </row>
    <row r="1724" spans="1:9" s="135" customFormat="1" ht="27" customHeight="1">
      <c r="A1724" s="273"/>
      <c r="B1724" s="297" t="s">
        <v>993</v>
      </c>
      <c r="C1724" s="297"/>
      <c r="D1724" s="297"/>
      <c r="E1724" s="297"/>
      <c r="F1724" s="273"/>
      <c r="G1724" s="273"/>
      <c r="H1724" s="273"/>
      <c r="I1724" s="273"/>
    </row>
    <row r="1725" spans="1:9" s="135" customFormat="1" ht="20.25" customHeight="1">
      <c r="A1725" s="273"/>
      <c r="B1725" s="273"/>
      <c r="C1725" s="273"/>
      <c r="D1725" s="273"/>
      <c r="E1725" s="273"/>
      <c r="F1725" s="273"/>
      <c r="G1725" s="273"/>
      <c r="H1725" s="273"/>
      <c r="I1725" s="273"/>
    </row>
    <row r="1726" spans="1:9" s="135" customFormat="1" ht="20.25" customHeight="1">
      <c r="A1726" s="273"/>
      <c r="B1726" s="273"/>
      <c r="C1726" s="273"/>
      <c r="D1726" s="273"/>
      <c r="E1726" s="273"/>
      <c r="F1726" s="273"/>
      <c r="G1726" s="273"/>
      <c r="H1726" s="273"/>
      <c r="I1726" s="273"/>
    </row>
    <row r="1727" spans="1:9" s="135" customFormat="1" ht="20.25" customHeight="1">
      <c r="A1727" s="273"/>
      <c r="B1727" s="273"/>
      <c r="C1727" s="273"/>
      <c r="D1727" s="273"/>
      <c r="E1727" s="273"/>
      <c r="F1727" s="273"/>
      <c r="G1727" s="273"/>
      <c r="H1727" s="273"/>
      <c r="I1727" s="273"/>
    </row>
    <row r="1728" spans="1:9" s="135" customFormat="1" ht="27" customHeight="1">
      <c r="A1728" s="273"/>
      <c r="F1728" s="273"/>
      <c r="G1728" s="273"/>
      <c r="H1728" s="273"/>
      <c r="I1728" s="273"/>
    </row>
    <row r="1729" spans="1:9" s="135" customFormat="1" ht="27" customHeight="1">
      <c r="A1729" s="273"/>
      <c r="F1729" s="273"/>
      <c r="G1729" s="273"/>
      <c r="H1729" s="273"/>
      <c r="I1729" s="273"/>
    </row>
    <row r="1730" spans="1:9" s="135" customFormat="1" ht="20.25" customHeight="1">
      <c r="A1730" s="273"/>
      <c r="B1730" s="273"/>
      <c r="C1730" s="273"/>
      <c r="D1730" s="273"/>
      <c r="E1730" s="273"/>
      <c r="F1730" s="273"/>
      <c r="G1730" s="273"/>
      <c r="H1730" s="273"/>
      <c r="I1730" s="273"/>
    </row>
    <row r="1731" spans="1:8" s="135" customFormat="1" ht="20.25" customHeight="1">
      <c r="A1731" s="273"/>
      <c r="B1731" s="273"/>
      <c r="C1731" s="273"/>
      <c r="D1731" s="273"/>
      <c r="E1731" s="273"/>
      <c r="F1731" s="273"/>
      <c r="G1731" s="273"/>
      <c r="H1731" s="273"/>
    </row>
    <row r="1732" spans="1:8" s="135" customFormat="1" ht="20.25" customHeight="1">
      <c r="A1732" s="273"/>
      <c r="B1732" s="273"/>
      <c r="C1732" s="273"/>
      <c r="D1732" s="273"/>
      <c r="E1732" s="273"/>
      <c r="F1732" s="273"/>
      <c r="G1732" s="273"/>
      <c r="H1732" s="273"/>
    </row>
    <row r="1733" spans="1:9" s="135" customFormat="1" ht="20.25" customHeight="1">
      <c r="A1733" s="273"/>
      <c r="B1733" s="273"/>
      <c r="C1733" s="273"/>
      <c r="D1733" s="273"/>
      <c r="E1733" s="273"/>
      <c r="F1733" s="273"/>
      <c r="G1733" s="273"/>
      <c r="H1733" s="273"/>
      <c r="I1733" s="443"/>
    </row>
    <row r="1734" spans="1:9" s="135" customFormat="1" ht="20.25" customHeight="1">
      <c r="A1734" s="481"/>
      <c r="B1734" s="481"/>
      <c r="C1734" s="481"/>
      <c r="D1734" s="481"/>
      <c r="E1734" s="481"/>
      <c r="F1734" s="273"/>
      <c r="G1734" s="273"/>
      <c r="H1734" s="273"/>
      <c r="I1734" s="443">
        <v>26</v>
      </c>
    </row>
    <row r="1735" spans="1:9" s="135" customFormat="1" ht="20.25" customHeight="1">
      <c r="A1735" s="481"/>
      <c r="B1735" s="481"/>
      <c r="C1735" s="481"/>
      <c r="D1735" s="481"/>
      <c r="E1735" s="481"/>
      <c r="F1735" s="273"/>
      <c r="G1735" s="273"/>
      <c r="H1735" s="273"/>
      <c r="I1735" s="443"/>
    </row>
    <row r="1736" s="135" customFormat="1" ht="20.25" customHeight="1">
      <c r="I1736" s="272"/>
    </row>
    <row r="1737" s="135" customFormat="1" ht="20.25" customHeight="1">
      <c r="I1737" s="272"/>
    </row>
    <row r="1738" spans="1:9" s="135" customFormat="1" ht="27" customHeight="1">
      <c r="A1738" s="663" t="s">
        <v>653</v>
      </c>
      <c r="B1738" s="663"/>
      <c r="C1738" s="663"/>
      <c r="D1738" s="663"/>
      <c r="E1738" s="663"/>
      <c r="F1738" s="663"/>
      <c r="I1738" s="272"/>
    </row>
    <row r="1739" spans="1:9" s="135" customFormat="1" ht="20.25" customHeight="1">
      <c r="A1739" s="278"/>
      <c r="B1739" s="278"/>
      <c r="C1739" s="278"/>
      <c r="D1739" s="278"/>
      <c r="E1739" s="278"/>
      <c r="I1739" s="272"/>
    </row>
    <row r="1740" s="135" customFormat="1" ht="20.25" customHeight="1">
      <c r="I1740" s="272"/>
    </row>
    <row r="1741" s="135" customFormat="1" ht="20.25" customHeight="1">
      <c r="I1741" s="272"/>
    </row>
    <row r="1742" spans="2:9" s="135" customFormat="1" ht="20.25" customHeight="1">
      <c r="B1742" s="518" t="s">
        <v>441</v>
      </c>
      <c r="C1742" s="518"/>
      <c r="D1742" s="518"/>
      <c r="E1742" s="518"/>
      <c r="F1742" s="518"/>
      <c r="G1742" s="518"/>
      <c r="H1742" s="518"/>
      <c r="I1742" s="518"/>
    </row>
    <row r="1743" spans="1:9" s="135" customFormat="1" ht="20.25" customHeight="1">
      <c r="A1743" s="518" t="s">
        <v>442</v>
      </c>
      <c r="B1743" s="518"/>
      <c r="C1743" s="518"/>
      <c r="D1743" s="518"/>
      <c r="E1743" s="518"/>
      <c r="F1743" s="518"/>
      <c r="G1743" s="518"/>
      <c r="H1743" s="518"/>
      <c r="I1743" s="518"/>
    </row>
    <row r="1744" spans="1:9" s="135" customFormat="1" ht="20.25" customHeight="1">
      <c r="A1744" s="518" t="s">
        <v>793</v>
      </c>
      <c r="B1744" s="518"/>
      <c r="C1744" s="518"/>
      <c r="D1744" s="518"/>
      <c r="E1744" s="518"/>
      <c r="F1744" s="518"/>
      <c r="G1744" s="518"/>
      <c r="H1744" s="518"/>
      <c r="I1744" s="518"/>
    </row>
    <row r="1745" spans="1:9" s="135" customFormat="1" ht="20.25" customHeight="1">
      <c r="A1745" s="518" t="s">
        <v>443</v>
      </c>
      <c r="B1745" s="518"/>
      <c r="C1745" s="518"/>
      <c r="D1745" s="518"/>
      <c r="E1745" s="518"/>
      <c r="F1745" s="518"/>
      <c r="G1745" s="518"/>
      <c r="H1745" s="518"/>
      <c r="I1745" s="518"/>
    </row>
    <row r="1746" spans="1:9" s="135" customFormat="1" ht="20.25" customHeight="1">
      <c r="A1746" s="191"/>
      <c r="B1746" s="518" t="s">
        <v>1073</v>
      </c>
      <c r="C1746" s="518"/>
      <c r="D1746" s="518"/>
      <c r="E1746" s="518"/>
      <c r="F1746" s="518"/>
      <c r="G1746" s="518"/>
      <c r="H1746" s="518"/>
      <c r="I1746" s="518"/>
    </row>
    <row r="1747" spans="1:9" s="135" customFormat="1" ht="20.25" customHeight="1">
      <c r="A1747" s="280"/>
      <c r="B1747" s="280"/>
      <c r="C1747" s="280"/>
      <c r="D1747" s="280"/>
      <c r="E1747" s="280"/>
      <c r="F1747" s="280"/>
      <c r="G1747" s="280"/>
      <c r="H1747" s="280"/>
      <c r="I1747" s="280"/>
    </row>
    <row r="1748" spans="1:8" s="135" customFormat="1" ht="20.25" customHeight="1">
      <c r="A1748" s="40"/>
      <c r="B1748" s="39"/>
      <c r="C1748"/>
      <c r="D1748" s="487" t="s">
        <v>682</v>
      </c>
      <c r="E1748" s="487"/>
      <c r="F1748" s="487"/>
      <c r="G1748" s="40"/>
      <c r="H1748" s="40"/>
    </row>
    <row r="1749" spans="1:8" s="135" customFormat="1" ht="20.25" customHeight="1">
      <c r="A1749" s="40"/>
      <c r="B1749" s="40"/>
      <c r="C1749" s="40"/>
      <c r="D1749" s="40"/>
      <c r="E1749" s="40"/>
      <c r="F1749" s="40"/>
      <c r="G1749" s="40"/>
      <c r="H1749" s="40"/>
    </row>
    <row r="1750" spans="1:9" s="135" customFormat="1" ht="20.25" customHeight="1">
      <c r="A1750" s="617" t="s">
        <v>683</v>
      </c>
      <c r="B1750" s="491" t="s">
        <v>688</v>
      </c>
      <c r="C1750" s="492"/>
      <c r="D1750" s="5" t="s">
        <v>686</v>
      </c>
      <c r="E1750" s="5" t="s">
        <v>712</v>
      </c>
      <c r="F1750" s="5" t="s">
        <v>686</v>
      </c>
      <c r="G1750" s="510" t="s">
        <v>713</v>
      </c>
      <c r="H1750" s="511"/>
      <c r="I1750" s="6" t="s">
        <v>714</v>
      </c>
    </row>
    <row r="1751" spans="1:9" s="135" customFormat="1" ht="20.25" customHeight="1">
      <c r="A1751" s="618"/>
      <c r="B1751" s="493"/>
      <c r="C1751" s="494"/>
      <c r="D1751" s="7" t="s">
        <v>656</v>
      </c>
      <c r="E1751" s="7" t="s">
        <v>715</v>
      </c>
      <c r="F1751" s="7" t="s">
        <v>657</v>
      </c>
      <c r="G1751" s="8" t="s">
        <v>706</v>
      </c>
      <c r="H1751" s="9" t="s">
        <v>707</v>
      </c>
      <c r="I1751" s="10" t="s">
        <v>717</v>
      </c>
    </row>
    <row r="1752" spans="1:9" s="135" customFormat="1" ht="20.25" customHeight="1">
      <c r="A1752" s="13">
        <v>1</v>
      </c>
      <c r="B1752" s="501">
        <v>2</v>
      </c>
      <c r="C1752" s="502"/>
      <c r="D1752" s="12">
        <v>3</v>
      </c>
      <c r="E1752" s="12">
        <v>4</v>
      </c>
      <c r="F1752" s="12">
        <v>5</v>
      </c>
      <c r="G1752" s="12">
        <v>6</v>
      </c>
      <c r="H1752" s="12">
        <v>7</v>
      </c>
      <c r="I1752" s="13">
        <v>8</v>
      </c>
    </row>
    <row r="1753" spans="1:9" s="135" customFormat="1" ht="20.25" customHeight="1">
      <c r="A1753" s="188">
        <v>50012</v>
      </c>
      <c r="B1753" s="615" t="s">
        <v>322</v>
      </c>
      <c r="C1753" s="615"/>
      <c r="D1753" s="151">
        <v>2469</v>
      </c>
      <c r="E1753" s="290">
        <v>5000</v>
      </c>
      <c r="F1753" s="25">
        <v>1755</v>
      </c>
      <c r="G1753" s="15">
        <f>F1753/D1753</f>
        <v>0.7108140947752126</v>
      </c>
      <c r="H1753" s="16">
        <f>F1753/E1753</f>
        <v>0.351</v>
      </c>
      <c r="I1753" s="16">
        <f>F1753/F1762</f>
        <v>0.16749875211043655</v>
      </c>
    </row>
    <row r="1754" spans="1:9" s="135" customFormat="1" ht="20.25" customHeight="1">
      <c r="A1754" s="188">
        <v>50020</v>
      </c>
      <c r="B1754" s="610" t="s">
        <v>907</v>
      </c>
      <c r="C1754" s="611"/>
      <c r="D1754" s="151">
        <v>0</v>
      </c>
      <c r="E1754" s="290">
        <v>0</v>
      </c>
      <c r="F1754" s="25">
        <v>70</v>
      </c>
      <c r="G1754" s="15" t="e">
        <f>F1754/D1754</f>
        <v>#DIV/0!</v>
      </c>
      <c r="H1754" s="16" t="e">
        <f>F1754/E1754</f>
        <v>#DIV/0!</v>
      </c>
      <c r="I1754" s="16">
        <f>F1754/F1762</f>
        <v>0.00668086190753878</v>
      </c>
    </row>
    <row r="1755" spans="1:9" s="135" customFormat="1" ht="20.25" customHeight="1">
      <c r="A1755" s="188">
        <v>50203</v>
      </c>
      <c r="B1755" s="610" t="s">
        <v>905</v>
      </c>
      <c r="C1755" s="611"/>
      <c r="D1755" s="151">
        <v>0</v>
      </c>
      <c r="E1755" s="290">
        <v>0</v>
      </c>
      <c r="F1755" s="25">
        <v>0</v>
      </c>
      <c r="G1755" s="15" t="e">
        <f aca="true" t="shared" si="82" ref="G1755:G1761">F1755/D1755</f>
        <v>#DIV/0!</v>
      </c>
      <c r="H1755" s="16" t="e">
        <f aca="true" t="shared" si="83" ref="H1755:H1761">F1755/E1755</f>
        <v>#DIV/0!</v>
      </c>
      <c r="I1755" s="16">
        <f>F1755/F1762</f>
        <v>0</v>
      </c>
    </row>
    <row r="1756" spans="1:9" s="135" customFormat="1" ht="20.25" customHeight="1">
      <c r="A1756" s="188">
        <v>50403</v>
      </c>
      <c r="B1756" s="610" t="s">
        <v>906</v>
      </c>
      <c r="C1756" s="611"/>
      <c r="D1756" s="151">
        <v>0</v>
      </c>
      <c r="E1756" s="290">
        <v>0</v>
      </c>
      <c r="F1756" s="25">
        <v>7886.2</v>
      </c>
      <c r="G1756" s="15" t="e">
        <f t="shared" si="82"/>
        <v>#DIV/0!</v>
      </c>
      <c r="H1756" s="16" t="e">
        <f t="shared" si="83"/>
        <v>#DIV/0!</v>
      </c>
      <c r="I1756" s="16">
        <f>F1756/F1762</f>
        <v>0.7526659025033189</v>
      </c>
    </row>
    <row r="1757" spans="1:9" s="135" customFormat="1" ht="20.25" customHeight="1">
      <c r="A1757" s="188">
        <v>50405</v>
      </c>
      <c r="B1757" s="610" t="s">
        <v>584</v>
      </c>
      <c r="C1757" s="611"/>
      <c r="D1757" s="151">
        <v>0</v>
      </c>
      <c r="E1757" s="290">
        <v>0</v>
      </c>
      <c r="F1757" s="25">
        <v>766.49</v>
      </c>
      <c r="G1757" s="15" t="e">
        <f t="shared" si="82"/>
        <v>#DIV/0!</v>
      </c>
      <c r="H1757" s="16" t="e">
        <f t="shared" si="83"/>
        <v>#DIV/0!</v>
      </c>
      <c r="I1757" s="16">
        <f>F1757/F1762</f>
        <v>0.0731544834787057</v>
      </c>
    </row>
    <row r="1758" spans="1:9" s="135" customFormat="1" ht="20.25" customHeight="1">
      <c r="A1758" s="188"/>
      <c r="B1758" s="616" t="s">
        <v>698</v>
      </c>
      <c r="C1758" s="616"/>
      <c r="D1758" s="151">
        <v>0</v>
      </c>
      <c r="E1758" s="290">
        <v>700</v>
      </c>
      <c r="F1758" s="14">
        <v>0</v>
      </c>
      <c r="G1758" s="15" t="e">
        <f t="shared" si="82"/>
        <v>#DIV/0!</v>
      </c>
      <c r="H1758" s="16">
        <f t="shared" si="83"/>
        <v>0</v>
      </c>
      <c r="I1758" s="16">
        <f>F1758/F1762</f>
        <v>0</v>
      </c>
    </row>
    <row r="1759" spans="1:9" s="135" customFormat="1" ht="20.25" customHeight="1">
      <c r="A1759" s="188"/>
      <c r="B1759" s="614" t="s">
        <v>273</v>
      </c>
      <c r="C1759" s="614"/>
      <c r="D1759" s="151">
        <v>0</v>
      </c>
      <c r="E1759" s="290">
        <v>1500</v>
      </c>
      <c r="F1759" s="25">
        <v>0</v>
      </c>
      <c r="G1759" s="15" t="e">
        <f t="shared" si="82"/>
        <v>#DIV/0!</v>
      </c>
      <c r="H1759" s="16">
        <f t="shared" si="83"/>
        <v>0</v>
      </c>
      <c r="I1759" s="16">
        <f>F1759/F1762</f>
        <v>0</v>
      </c>
    </row>
    <row r="1760" spans="1:9" s="135" customFormat="1" ht="20.25" customHeight="1">
      <c r="A1760" s="188"/>
      <c r="B1760" s="614" t="s">
        <v>654</v>
      </c>
      <c r="C1760" s="614"/>
      <c r="D1760" s="151">
        <v>0</v>
      </c>
      <c r="E1760" s="290" t="s">
        <v>201</v>
      </c>
      <c r="F1760" s="25">
        <v>0</v>
      </c>
      <c r="G1760" s="15" t="e">
        <f t="shared" si="82"/>
        <v>#DIV/0!</v>
      </c>
      <c r="H1760" s="16">
        <f t="shared" si="83"/>
        <v>0</v>
      </c>
      <c r="I1760" s="16">
        <f>F1760/F1762</f>
        <v>0</v>
      </c>
    </row>
    <row r="1761" spans="1:9" s="135" customFormat="1" ht="20.25" customHeight="1">
      <c r="A1761" s="149"/>
      <c r="B1761" s="614" t="s">
        <v>699</v>
      </c>
      <c r="C1761" s="614"/>
      <c r="D1761" s="151">
        <v>0</v>
      </c>
      <c r="E1761" s="290">
        <v>10000</v>
      </c>
      <c r="F1761" s="25">
        <v>0</v>
      </c>
      <c r="G1761" s="15" t="e">
        <f t="shared" si="82"/>
        <v>#DIV/0!</v>
      </c>
      <c r="H1761" s="16">
        <f t="shared" si="83"/>
        <v>0</v>
      </c>
      <c r="I1761" s="16">
        <f>F1761/F1762</f>
        <v>0</v>
      </c>
    </row>
    <row r="1762" spans="1:9" s="135" customFormat="1" ht="30" customHeight="1">
      <c r="A1762" s="17"/>
      <c r="B1762" s="583" t="s">
        <v>919</v>
      </c>
      <c r="C1762" s="584"/>
      <c r="D1762" s="279">
        <f>D1753+D1758+D1759+D1760+D1761</f>
        <v>2469</v>
      </c>
      <c r="E1762" s="279">
        <f>E1753+E1758+E1759+E1760+E1761</f>
        <v>17700</v>
      </c>
      <c r="F1762" s="301">
        <f>F1753+F1754+F1755+F1756+F1757+F1758+F1759+F1760+F1761</f>
        <v>10477.69</v>
      </c>
      <c r="G1762" s="212">
        <f>F1762/D1762</f>
        <v>4.243697853381936</v>
      </c>
      <c r="H1762" s="213">
        <f>F1762/E1762</f>
        <v>0.5919598870056497</v>
      </c>
      <c r="I1762" s="266">
        <f>SUM(I1753:I1761)</f>
        <v>0.9999999999999999</v>
      </c>
    </row>
    <row r="1763" spans="1:9" s="135" customFormat="1" ht="20.25" customHeight="1">
      <c r="A1763" s="282"/>
      <c r="B1763" s="283"/>
      <c r="C1763" s="283"/>
      <c r="D1763" s="284"/>
      <c r="E1763" s="284"/>
      <c r="F1763" s="425"/>
      <c r="G1763" s="286"/>
      <c r="H1763" s="287"/>
      <c r="I1763" s="426"/>
    </row>
    <row r="1764" spans="1:9" s="135" customFormat="1" ht="20.25" customHeight="1">
      <c r="A1764" s="599" t="s">
        <v>444</v>
      </c>
      <c r="B1764" s="599"/>
      <c r="C1764" s="599"/>
      <c r="D1764" s="599"/>
      <c r="E1764" s="599"/>
      <c r="F1764" s="599"/>
      <c r="G1764" s="599"/>
      <c r="H1764" s="599"/>
      <c r="I1764" s="599"/>
    </row>
    <row r="1765" spans="1:9" s="135" customFormat="1" ht="20.25" customHeight="1">
      <c r="A1765" s="599" t="s">
        <v>445</v>
      </c>
      <c r="B1765" s="599"/>
      <c r="C1765" s="599"/>
      <c r="D1765" s="599"/>
      <c r="E1765" s="599"/>
      <c r="F1765" s="599"/>
      <c r="G1765" s="599"/>
      <c r="H1765" s="599"/>
      <c r="I1765" s="599"/>
    </row>
    <row r="1766" spans="1:9" s="135" customFormat="1" ht="20.25" customHeight="1">
      <c r="A1766" s="599" t="s">
        <v>446</v>
      </c>
      <c r="B1766" s="599"/>
      <c r="C1766" s="599"/>
      <c r="D1766" s="599"/>
      <c r="E1766" s="599"/>
      <c r="F1766" s="599"/>
      <c r="G1766" s="599"/>
      <c r="H1766" s="599"/>
      <c r="I1766" s="599"/>
    </row>
    <row r="1767" spans="1:9" s="135" customFormat="1" ht="20.25" customHeight="1">
      <c r="A1767" s="599" t="s">
        <v>966</v>
      </c>
      <c r="B1767" s="599"/>
      <c r="C1767" s="599"/>
      <c r="D1767" s="599"/>
      <c r="E1767" s="599"/>
      <c r="F1767" s="599"/>
      <c r="G1767" s="599"/>
      <c r="H1767" s="599"/>
      <c r="I1767" s="599"/>
    </row>
    <row r="1768" spans="1:9" s="135" customFormat="1" ht="20.25" customHeight="1">
      <c r="A1768" s="599" t="s">
        <v>855</v>
      </c>
      <c r="B1768" s="599"/>
      <c r="C1768" s="599"/>
      <c r="D1768" s="599"/>
      <c r="E1768" s="599"/>
      <c r="F1768" s="599"/>
      <c r="G1768" s="599"/>
      <c r="H1768" s="599"/>
      <c r="I1768" s="599"/>
    </row>
    <row r="1769" spans="1:9" s="135" customFormat="1" ht="20.25" customHeight="1">
      <c r="A1769" s="282"/>
      <c r="B1769" s="283"/>
      <c r="C1769" s="283"/>
      <c r="D1769" s="284"/>
      <c r="E1769" s="285"/>
      <c r="F1769" s="285"/>
      <c r="G1769" s="286"/>
      <c r="H1769" s="287"/>
      <c r="I1769" s="287"/>
    </row>
    <row r="1770" spans="1:8" s="135" customFormat="1" ht="20.25" customHeight="1">
      <c r="A1770" s="40"/>
      <c r="B1770" s="40"/>
      <c r="C1770"/>
      <c r="D1770" s="487" t="s">
        <v>682</v>
      </c>
      <c r="E1770" s="487"/>
      <c r="F1770" s="487"/>
      <c r="G1770" s="40"/>
      <c r="H1770" s="40"/>
    </row>
    <row r="1771" spans="1:8" s="135" customFormat="1" ht="20.25" customHeight="1">
      <c r="A1771" s="40"/>
      <c r="B1771" s="40"/>
      <c r="C1771" s="40"/>
      <c r="D1771" s="40"/>
      <c r="E1771" s="40"/>
      <c r="F1771" s="40"/>
      <c r="G1771" s="40"/>
      <c r="H1771" s="40"/>
    </row>
    <row r="1772" spans="1:9" s="135" customFormat="1" ht="20.25" customHeight="1">
      <c r="A1772" s="22" t="s">
        <v>683</v>
      </c>
      <c r="B1772" s="491" t="s">
        <v>688</v>
      </c>
      <c r="C1772" s="492"/>
      <c r="D1772" s="5" t="s">
        <v>686</v>
      </c>
      <c r="E1772" s="5" t="s">
        <v>712</v>
      </c>
      <c r="F1772" s="5" t="s">
        <v>686</v>
      </c>
      <c r="G1772" s="510" t="s">
        <v>713</v>
      </c>
      <c r="H1772" s="511"/>
      <c r="I1772" s="6" t="s">
        <v>714</v>
      </c>
    </row>
    <row r="1773" spans="1:9" s="135" customFormat="1" ht="20.25" customHeight="1">
      <c r="A1773" s="23" t="s">
        <v>97</v>
      </c>
      <c r="B1773" s="493"/>
      <c r="C1773" s="494"/>
      <c r="D1773" s="7" t="s">
        <v>656</v>
      </c>
      <c r="E1773" s="7" t="s">
        <v>715</v>
      </c>
      <c r="F1773" s="7" t="s">
        <v>657</v>
      </c>
      <c r="G1773" s="8" t="s">
        <v>706</v>
      </c>
      <c r="H1773" s="9" t="s">
        <v>707</v>
      </c>
      <c r="I1773" s="10" t="s">
        <v>717</v>
      </c>
    </row>
    <row r="1774" spans="1:9" s="135" customFormat="1" ht="20.25" customHeight="1">
      <c r="A1774" s="13">
        <v>1</v>
      </c>
      <c r="B1774" s="501">
        <v>2</v>
      </c>
      <c r="C1774" s="502"/>
      <c r="D1774" s="12">
        <v>3</v>
      </c>
      <c r="E1774" s="12">
        <v>4</v>
      </c>
      <c r="F1774" s="12">
        <v>5</v>
      </c>
      <c r="G1774" s="12">
        <v>6</v>
      </c>
      <c r="H1774" s="12">
        <v>7</v>
      </c>
      <c r="I1774" s="13">
        <v>8</v>
      </c>
    </row>
    <row r="1775" spans="1:9" s="135" customFormat="1" ht="20.25" customHeight="1">
      <c r="A1775" s="4">
        <v>111</v>
      </c>
      <c r="B1775" s="504" t="s">
        <v>540</v>
      </c>
      <c r="C1775" s="505"/>
      <c r="D1775" s="25">
        <v>28993.5</v>
      </c>
      <c r="E1775" s="25">
        <v>95000</v>
      </c>
      <c r="F1775" s="25">
        <v>33474.05</v>
      </c>
      <c r="G1775" s="15">
        <f aca="true" t="shared" si="84" ref="G1775:G1780">F1775/D1775</f>
        <v>1.1545363615982893</v>
      </c>
      <c r="H1775" s="16">
        <f aca="true" t="shared" si="85" ref="H1775:H1780">F1775/E1775</f>
        <v>0.3523584210526316</v>
      </c>
      <c r="I1775" s="16">
        <f>F1775/F1780</f>
        <v>0.7731804221234505</v>
      </c>
    </row>
    <row r="1776" spans="1:9" s="135" customFormat="1" ht="20.25" customHeight="1">
      <c r="A1776" s="4">
        <v>130</v>
      </c>
      <c r="B1776" s="504" t="s">
        <v>541</v>
      </c>
      <c r="C1776" s="505"/>
      <c r="D1776" s="234">
        <v>11018.79</v>
      </c>
      <c r="E1776" s="14">
        <v>30000</v>
      </c>
      <c r="F1776" s="14">
        <v>9819.92</v>
      </c>
      <c r="G1776" s="15">
        <f t="shared" si="84"/>
        <v>0.8911976723397033</v>
      </c>
      <c r="H1776" s="16">
        <f t="shared" si="85"/>
        <v>0.32733066666666666</v>
      </c>
      <c r="I1776" s="16">
        <f>F1776/F1780</f>
        <v>0.22681957787654955</v>
      </c>
    </row>
    <row r="1777" spans="1:9" s="135" customFormat="1" ht="20.25" customHeight="1">
      <c r="A1777" s="4">
        <v>132</v>
      </c>
      <c r="B1777" s="504" t="s">
        <v>542</v>
      </c>
      <c r="C1777" s="505"/>
      <c r="D1777" s="238">
        <v>0</v>
      </c>
      <c r="E1777" s="25">
        <v>2000</v>
      </c>
      <c r="F1777" s="25">
        <v>0</v>
      </c>
      <c r="G1777" s="15" t="e">
        <f t="shared" si="84"/>
        <v>#DIV/0!</v>
      </c>
      <c r="H1777" s="16">
        <f t="shared" si="85"/>
        <v>0</v>
      </c>
      <c r="I1777" s="16">
        <f>F1777/F1780</f>
        <v>0</v>
      </c>
    </row>
    <row r="1778" spans="1:9" s="135" customFormat="1" ht="20.25" customHeight="1">
      <c r="A1778" s="4">
        <v>200</v>
      </c>
      <c r="B1778" s="507" t="s">
        <v>543</v>
      </c>
      <c r="C1778" s="508"/>
      <c r="D1778" s="54">
        <v>0</v>
      </c>
      <c r="E1778" s="25">
        <v>0</v>
      </c>
      <c r="F1778" s="25">
        <v>0</v>
      </c>
      <c r="G1778" s="15" t="e">
        <f t="shared" si="84"/>
        <v>#DIV/0!</v>
      </c>
      <c r="H1778" s="16" t="e">
        <f t="shared" si="85"/>
        <v>#DIV/0!</v>
      </c>
      <c r="I1778" s="16">
        <f>F1778/F1780</f>
        <v>0</v>
      </c>
    </row>
    <row r="1779" spans="1:9" s="135" customFormat="1" ht="20.25" customHeight="1">
      <c r="A1779" s="4">
        <v>300</v>
      </c>
      <c r="B1779" s="504" t="s">
        <v>544</v>
      </c>
      <c r="C1779" s="505"/>
      <c r="D1779" s="25">
        <v>0</v>
      </c>
      <c r="E1779" s="25">
        <v>200000</v>
      </c>
      <c r="F1779" s="25">
        <v>0</v>
      </c>
      <c r="G1779" s="15" t="e">
        <f t="shared" si="84"/>
        <v>#DIV/0!</v>
      </c>
      <c r="H1779" s="16">
        <f t="shared" si="85"/>
        <v>0</v>
      </c>
      <c r="I1779" s="16">
        <f>F1779/F1780</f>
        <v>0</v>
      </c>
    </row>
    <row r="1780" spans="1:9" s="135" customFormat="1" ht="30" customHeight="1">
      <c r="A1780" s="17"/>
      <c r="B1780" s="583" t="s">
        <v>95</v>
      </c>
      <c r="C1780" s="584"/>
      <c r="D1780" s="288">
        <f>D1775+D1776+D1777+D1778+D1779</f>
        <v>40012.29</v>
      </c>
      <c r="E1780" s="211">
        <f>E1775+E1776+E1777+E1778+E1779</f>
        <v>327000</v>
      </c>
      <c r="F1780" s="211">
        <f>F1775+F1776+F1777+F1778+F1779</f>
        <v>43293.97</v>
      </c>
      <c r="G1780" s="265">
        <f t="shared" si="84"/>
        <v>1.082016800338096</v>
      </c>
      <c r="H1780" s="266">
        <f t="shared" si="85"/>
        <v>0.13239746177370032</v>
      </c>
      <c r="I1780" s="266">
        <f>SUM(I1775:I1779)</f>
        <v>1</v>
      </c>
    </row>
    <row r="1781" spans="1:8" s="135" customFormat="1" ht="20.25" customHeight="1">
      <c r="A1781" s="49"/>
      <c r="B1781" s="49"/>
      <c r="C1781" s="49"/>
      <c r="D1781" s="49"/>
      <c r="E1781" s="208"/>
      <c r="F1781" s="49"/>
      <c r="G1781" s="49"/>
      <c r="H1781" s="40"/>
    </row>
    <row r="1782" spans="1:9" s="135" customFormat="1" ht="20.25" customHeight="1">
      <c r="A1782" s="289"/>
      <c r="B1782" s="600" t="s">
        <v>967</v>
      </c>
      <c r="C1782" s="600"/>
      <c r="D1782" s="600"/>
      <c r="E1782" s="600"/>
      <c r="F1782" s="600"/>
      <c r="G1782" s="600"/>
      <c r="H1782" s="600"/>
      <c r="I1782" s="600"/>
    </row>
    <row r="1783" spans="1:9" s="135" customFormat="1" ht="20.25" customHeight="1">
      <c r="A1783" s="600" t="s">
        <v>624</v>
      </c>
      <c r="B1783" s="600"/>
      <c r="C1783" s="600"/>
      <c r="D1783" s="600"/>
      <c r="E1783" s="600"/>
      <c r="F1783" s="600"/>
      <c r="G1783" s="600"/>
      <c r="H1783" s="600"/>
      <c r="I1783" s="600"/>
    </row>
    <row r="1784" spans="1:9" s="135" customFormat="1" ht="20.25" customHeight="1">
      <c r="A1784" s="600" t="s">
        <v>447</v>
      </c>
      <c r="B1784" s="600"/>
      <c r="C1784" s="600"/>
      <c r="D1784" s="600"/>
      <c r="E1784" s="600"/>
      <c r="F1784" s="600"/>
      <c r="G1784" s="600"/>
      <c r="H1784" s="600"/>
      <c r="I1784" s="600"/>
    </row>
    <row r="1785" spans="1:9" s="135" customFormat="1" ht="20.25" customHeight="1">
      <c r="A1785" s="503" t="s">
        <v>448</v>
      </c>
      <c r="B1785" s="503"/>
      <c r="C1785" s="503"/>
      <c r="D1785" s="503"/>
      <c r="E1785" s="503"/>
      <c r="F1785" s="503"/>
      <c r="G1785" s="503"/>
      <c r="H1785" s="503"/>
      <c r="I1785" s="503"/>
    </row>
    <row r="1786" spans="1:9" s="135" customFormat="1" ht="20.25" customHeight="1">
      <c r="A1786" s="486" t="s">
        <v>449</v>
      </c>
      <c r="B1786" s="486"/>
      <c r="C1786" s="486"/>
      <c r="D1786" s="486"/>
      <c r="E1786" s="486"/>
      <c r="F1786" s="486"/>
      <c r="G1786" s="486"/>
      <c r="H1786" s="486"/>
      <c r="I1786" s="486"/>
    </row>
    <row r="1787" spans="1:9" s="135" customFormat="1" ht="20.25" customHeight="1">
      <c r="A1787" s="486" t="s">
        <v>450</v>
      </c>
      <c r="B1787" s="486"/>
      <c r="C1787" s="486"/>
      <c r="D1787" s="486"/>
      <c r="E1787" s="486"/>
      <c r="F1787" s="486"/>
      <c r="G1787" s="486"/>
      <c r="H1787" s="486"/>
      <c r="I1787" s="486"/>
    </row>
    <row r="1788" spans="1:9" s="135" customFormat="1" ht="20.25" customHeight="1">
      <c r="A1788" s="486" t="s">
        <v>451</v>
      </c>
      <c r="B1788" s="486"/>
      <c r="C1788" s="486"/>
      <c r="D1788" s="486"/>
      <c r="E1788" s="486"/>
      <c r="F1788" s="486"/>
      <c r="G1788" s="486"/>
      <c r="H1788" s="486"/>
      <c r="I1788" s="486"/>
    </row>
    <row r="1789" spans="1:9" s="135" customFormat="1" ht="20.25" customHeight="1">
      <c r="A1789" s="486" t="s">
        <v>968</v>
      </c>
      <c r="B1789" s="486"/>
      <c r="C1789" s="486"/>
      <c r="D1789" s="486"/>
      <c r="E1789" s="486"/>
      <c r="F1789" s="486"/>
      <c r="G1789" s="486"/>
      <c r="H1789" s="486"/>
      <c r="I1789" s="486"/>
    </row>
    <row r="1790" spans="1:9" s="135" customFormat="1" ht="20.25" customHeight="1">
      <c r="A1790" s="273"/>
      <c r="B1790" s="281"/>
      <c r="C1790" s="281"/>
      <c r="D1790" s="281"/>
      <c r="E1790" s="273"/>
      <c r="F1790" s="273"/>
      <c r="G1790" s="273"/>
      <c r="H1790" s="273"/>
      <c r="I1790" s="209"/>
    </row>
    <row r="1791" spans="1:9" s="135" customFormat="1" ht="20.25" customHeight="1">
      <c r="A1791" s="273"/>
      <c r="B1791" s="281"/>
      <c r="C1791" s="281"/>
      <c r="D1791" s="281"/>
      <c r="E1791" s="273"/>
      <c r="F1791" s="273"/>
      <c r="G1791" s="273"/>
      <c r="H1791" s="273"/>
      <c r="I1791" s="273"/>
    </row>
    <row r="1792" spans="1:9" s="135" customFormat="1" ht="20.25" customHeight="1">
      <c r="A1792" s="273"/>
      <c r="B1792" s="281"/>
      <c r="C1792" s="281"/>
      <c r="D1792" s="281"/>
      <c r="E1792" s="273"/>
      <c r="F1792" s="273"/>
      <c r="G1792" s="273"/>
      <c r="H1792" s="273"/>
      <c r="I1792" s="273"/>
    </row>
    <row r="1793" spans="1:9" s="135" customFormat="1" ht="20.25" customHeight="1">
      <c r="A1793" s="273"/>
      <c r="B1793" s="281"/>
      <c r="C1793" s="281"/>
      <c r="D1793" s="281"/>
      <c r="E1793" s="273"/>
      <c r="F1793" s="273"/>
      <c r="G1793" s="273"/>
      <c r="H1793" s="273"/>
      <c r="I1793" s="273"/>
    </row>
    <row r="1794" spans="1:8" s="135" customFormat="1" ht="20.25" customHeight="1">
      <c r="A1794" s="273"/>
      <c r="B1794" s="281"/>
      <c r="C1794" s="281"/>
      <c r="D1794" s="281"/>
      <c r="E1794" s="273"/>
      <c r="F1794" s="273"/>
      <c r="G1794" s="273"/>
      <c r="H1794" s="273"/>
    </row>
    <row r="1795" spans="1:9" s="135" customFormat="1" ht="20.25" customHeight="1">
      <c r="A1795" s="273"/>
      <c r="B1795" s="281"/>
      <c r="C1795" s="281"/>
      <c r="D1795" s="281"/>
      <c r="E1795" s="273"/>
      <c r="F1795" s="273"/>
      <c r="G1795" s="273"/>
      <c r="H1795" s="273"/>
      <c r="I1795" s="441"/>
    </row>
    <row r="1796" spans="1:9" s="135" customFormat="1" ht="20.25" customHeight="1">
      <c r="A1796" s="273"/>
      <c r="B1796" s="281"/>
      <c r="C1796" s="281"/>
      <c r="D1796" s="281"/>
      <c r="E1796" s="273"/>
      <c r="F1796" s="273"/>
      <c r="G1796" s="273"/>
      <c r="H1796" s="273"/>
      <c r="I1796" s="441">
        <v>27</v>
      </c>
    </row>
    <row r="1797" spans="1:9" s="135" customFormat="1" ht="20.25" customHeight="1">
      <c r="A1797" s="273"/>
      <c r="B1797" s="281"/>
      <c r="C1797" s="281"/>
      <c r="D1797" s="281"/>
      <c r="E1797" s="273"/>
      <c r="F1797" s="273"/>
      <c r="G1797" s="273"/>
      <c r="H1797" s="273"/>
      <c r="I1797" s="273"/>
    </row>
    <row r="1798" spans="1:9" s="135" customFormat="1" ht="20.25" customHeight="1">
      <c r="A1798" s="273"/>
      <c r="B1798" s="281"/>
      <c r="C1798" s="281"/>
      <c r="D1798" s="281"/>
      <c r="E1798" s="273"/>
      <c r="F1798" s="273"/>
      <c r="G1798" s="273"/>
      <c r="H1798" s="273"/>
      <c r="I1798" s="273"/>
    </row>
    <row r="1799" spans="1:9" s="135" customFormat="1" ht="20.25" customHeight="1">
      <c r="A1799" s="273"/>
      <c r="B1799" s="281"/>
      <c r="C1799" s="281"/>
      <c r="D1799" s="281"/>
      <c r="E1799" s="273"/>
      <c r="F1799" s="273"/>
      <c r="G1799" s="273"/>
      <c r="H1799" s="273"/>
      <c r="I1799" s="273"/>
    </row>
    <row r="1800" spans="1:9" s="135" customFormat="1" ht="28.5" customHeight="1">
      <c r="A1800" s="273"/>
      <c r="B1800" s="605" t="s">
        <v>992</v>
      </c>
      <c r="C1800" s="605"/>
      <c r="D1800" s="605"/>
      <c r="E1800" s="273"/>
      <c r="F1800" s="273"/>
      <c r="G1800" s="273"/>
      <c r="H1800" s="273"/>
      <c r="I1800" s="273"/>
    </row>
    <row r="1801" spans="1:9" s="135" customFormat="1" ht="20.25" customHeight="1">
      <c r="A1801" s="273"/>
      <c r="B1801" s="281"/>
      <c r="C1801" s="281"/>
      <c r="D1801" s="281"/>
      <c r="E1801" s="273"/>
      <c r="F1801" s="273"/>
      <c r="G1801" s="273"/>
      <c r="H1801" s="273"/>
      <c r="I1801" s="273"/>
    </row>
    <row r="1802" spans="1:9" s="135" customFormat="1" ht="20.25" customHeight="1">
      <c r="A1802" s="273"/>
      <c r="B1802" s="281"/>
      <c r="C1802" s="281"/>
      <c r="D1802" s="281"/>
      <c r="E1802" s="273"/>
      <c r="F1802" s="273"/>
      <c r="G1802" s="273"/>
      <c r="H1802" s="273"/>
      <c r="I1802" s="273"/>
    </row>
    <row r="1803" spans="1:9" s="135" customFormat="1" ht="20.25" customHeight="1">
      <c r="A1803" s="273"/>
      <c r="B1803" s="281"/>
      <c r="C1803" s="281"/>
      <c r="D1803" s="281"/>
      <c r="E1803" s="273"/>
      <c r="F1803" s="273"/>
      <c r="G1803" s="273"/>
      <c r="H1803" s="273"/>
      <c r="I1803" s="273"/>
    </row>
    <row r="1804" spans="1:9" s="135" customFormat="1" ht="20.25" customHeight="1">
      <c r="A1804" s="273"/>
      <c r="B1804" s="281"/>
      <c r="C1804" s="281"/>
      <c r="D1804" s="281"/>
      <c r="E1804" s="273"/>
      <c r="F1804" s="273"/>
      <c r="G1804" s="273"/>
      <c r="H1804" s="273"/>
      <c r="I1804" s="273"/>
    </row>
    <row r="1805" spans="1:9" s="135" customFormat="1" ht="20.25" customHeight="1">
      <c r="A1805" s="273"/>
      <c r="B1805" s="281"/>
      <c r="C1805" s="281"/>
      <c r="D1805" s="281"/>
      <c r="E1805" s="273"/>
      <c r="F1805" s="273"/>
      <c r="G1805" s="273"/>
      <c r="H1805" s="273"/>
      <c r="I1805" s="273"/>
    </row>
    <row r="1806" spans="1:9" s="135" customFormat="1" ht="20.25" customHeight="1">
      <c r="A1806" s="273"/>
      <c r="B1806" s="281"/>
      <c r="C1806" s="281"/>
      <c r="D1806" s="281"/>
      <c r="E1806" s="273"/>
      <c r="F1806" s="273"/>
      <c r="G1806" s="273"/>
      <c r="H1806" s="273"/>
      <c r="I1806" s="273"/>
    </row>
    <row r="1807" spans="1:9" s="135" customFormat="1" ht="20.25" customHeight="1">
      <c r="A1807" s="273"/>
      <c r="B1807" s="281"/>
      <c r="C1807" s="281"/>
      <c r="D1807" s="281"/>
      <c r="E1807" s="273"/>
      <c r="F1807" s="273"/>
      <c r="G1807" s="273"/>
      <c r="H1807" s="273"/>
      <c r="I1807" s="273"/>
    </row>
    <row r="1808" spans="1:9" s="135" customFormat="1" ht="20.25" customHeight="1">
      <c r="A1808" s="273"/>
      <c r="B1808" s="281"/>
      <c r="C1808" s="281"/>
      <c r="D1808" s="281"/>
      <c r="E1808" s="273"/>
      <c r="F1808" s="273"/>
      <c r="G1808" s="273"/>
      <c r="H1808" s="273"/>
      <c r="I1808" s="273"/>
    </row>
    <row r="1809" spans="1:9" s="135" customFormat="1" ht="20.25" customHeight="1">
      <c r="A1809" s="273"/>
      <c r="B1809" s="281"/>
      <c r="C1809" s="281"/>
      <c r="D1809" s="281"/>
      <c r="E1809" s="273"/>
      <c r="F1809" s="273"/>
      <c r="G1809" s="273"/>
      <c r="H1809" s="273"/>
      <c r="I1809" s="273"/>
    </row>
    <row r="1810" spans="1:9" s="135" customFormat="1" ht="20.25" customHeight="1">
      <c r="A1810" s="273"/>
      <c r="B1810" s="281"/>
      <c r="C1810" s="281"/>
      <c r="D1810" s="281"/>
      <c r="E1810" s="273"/>
      <c r="F1810" s="273"/>
      <c r="G1810" s="273"/>
      <c r="H1810" s="273"/>
      <c r="I1810" s="273"/>
    </row>
    <row r="1811" spans="1:9" s="135" customFormat="1" ht="20.25" customHeight="1">
      <c r="A1811" s="273"/>
      <c r="B1811" s="281"/>
      <c r="C1811" s="281"/>
      <c r="D1811" s="281"/>
      <c r="E1811" s="273"/>
      <c r="F1811" s="273"/>
      <c r="G1811" s="273"/>
      <c r="H1811" s="273"/>
      <c r="I1811" s="273"/>
    </row>
    <row r="1812" spans="1:9" s="135" customFormat="1" ht="20.25" customHeight="1">
      <c r="A1812" s="273"/>
      <c r="B1812" s="273"/>
      <c r="C1812" s="273"/>
      <c r="D1812" s="273"/>
      <c r="E1812" s="273"/>
      <c r="F1812" s="273"/>
      <c r="G1812" s="273"/>
      <c r="H1812" s="273"/>
      <c r="I1812" s="273"/>
    </row>
    <row r="1813" spans="1:9" s="135" customFormat="1" ht="30" customHeight="1">
      <c r="A1813" s="273"/>
      <c r="B1813" s="605" t="s">
        <v>993</v>
      </c>
      <c r="C1813" s="605"/>
      <c r="D1813" s="605"/>
      <c r="E1813" s="605"/>
      <c r="F1813" s="273"/>
      <c r="G1813" s="273"/>
      <c r="H1813" s="273"/>
      <c r="I1813" s="273"/>
    </row>
    <row r="1814" spans="1:8" s="135" customFormat="1" ht="20.25" customHeight="1">
      <c r="A1814" s="273"/>
      <c r="B1814" s="273"/>
      <c r="C1814" s="273"/>
      <c r="D1814" s="273"/>
      <c r="E1814" s="273"/>
      <c r="F1814" s="273"/>
      <c r="G1814" s="273"/>
      <c r="H1814" s="273"/>
    </row>
    <row r="1815" spans="1:9" s="135" customFormat="1" ht="27" customHeight="1">
      <c r="A1815" s="273"/>
      <c r="F1815" s="273"/>
      <c r="G1815" s="273"/>
      <c r="H1815" s="273"/>
      <c r="I1815" s="273"/>
    </row>
    <row r="1816" spans="1:9" s="135" customFormat="1" ht="20.25" customHeight="1">
      <c r="A1816" s="273"/>
      <c r="B1816" s="273"/>
      <c r="C1816" s="273"/>
      <c r="D1816" s="273"/>
      <c r="E1816" s="273"/>
      <c r="F1816" s="273"/>
      <c r="G1816" s="273"/>
      <c r="H1816" s="273"/>
      <c r="I1816" s="272"/>
    </row>
    <row r="1817" spans="1:9" s="135" customFormat="1" ht="20.25" customHeight="1">
      <c r="A1817" s="273"/>
      <c r="E1817" s="273"/>
      <c r="F1817" s="273"/>
      <c r="G1817" s="273"/>
      <c r="H1817" s="273"/>
      <c r="I1817" s="209"/>
    </row>
    <row r="1818" spans="1:9" s="135" customFormat="1" ht="20.25" customHeight="1">
      <c r="A1818" s="273"/>
      <c r="E1818" s="273"/>
      <c r="F1818" s="273"/>
      <c r="G1818" s="273"/>
      <c r="H1818" s="273"/>
      <c r="I1818" s="209"/>
    </row>
    <row r="1819" spans="1:9" s="135" customFormat="1" ht="20.25" customHeight="1">
      <c r="A1819" s="273"/>
      <c r="E1819" s="273"/>
      <c r="F1819" s="273"/>
      <c r="G1819" s="273"/>
      <c r="H1819" s="273"/>
      <c r="I1819" s="209"/>
    </row>
    <row r="1820" spans="1:9" s="135" customFormat="1" ht="20.25" customHeight="1">
      <c r="A1820" s="273"/>
      <c r="E1820" s="273"/>
      <c r="F1820" s="273"/>
      <c r="G1820" s="273"/>
      <c r="H1820" s="273"/>
      <c r="I1820" s="209"/>
    </row>
    <row r="1821" spans="1:9" s="135" customFormat="1" ht="20.25" customHeight="1">
      <c r="A1821" s="273"/>
      <c r="E1821" s="273"/>
      <c r="F1821" s="273"/>
      <c r="G1821" s="273"/>
      <c r="H1821" s="273"/>
      <c r="I1821" s="209"/>
    </row>
    <row r="1822" spans="1:9" s="135" customFormat="1" ht="20.25" customHeight="1">
      <c r="A1822" s="273"/>
      <c r="E1822" s="273"/>
      <c r="F1822" s="273"/>
      <c r="G1822" s="273"/>
      <c r="H1822" s="273"/>
      <c r="I1822" s="209"/>
    </row>
    <row r="1823" spans="1:9" s="135" customFormat="1" ht="20.25" customHeight="1">
      <c r="A1823" s="273"/>
      <c r="E1823" s="273"/>
      <c r="F1823" s="273"/>
      <c r="G1823" s="273"/>
      <c r="H1823" s="273"/>
      <c r="I1823" s="209"/>
    </row>
    <row r="1824" spans="1:9" s="135" customFormat="1" ht="20.25" customHeight="1">
      <c r="A1824" s="273"/>
      <c r="E1824" s="273"/>
      <c r="F1824" s="273"/>
      <c r="G1824" s="273"/>
      <c r="H1824" s="273"/>
      <c r="I1824" s="209"/>
    </row>
    <row r="1825" spans="1:9" s="135" customFormat="1" ht="20.25" customHeight="1">
      <c r="A1825" s="273"/>
      <c r="E1825" s="273"/>
      <c r="F1825" s="273"/>
      <c r="G1825" s="273"/>
      <c r="H1825" s="273"/>
      <c r="I1825" s="209"/>
    </row>
    <row r="1826" spans="1:9" s="135" customFormat="1" ht="20.25" customHeight="1">
      <c r="A1826" s="273"/>
      <c r="E1826" s="273"/>
      <c r="F1826" s="273"/>
      <c r="G1826" s="273"/>
      <c r="H1826" s="273"/>
      <c r="I1826" s="209"/>
    </row>
    <row r="1827" spans="1:9" s="135" customFormat="1" ht="20.25" customHeight="1">
      <c r="A1827" s="273"/>
      <c r="E1827" s="273"/>
      <c r="F1827" s="273"/>
      <c r="G1827" s="273"/>
      <c r="H1827" s="273"/>
      <c r="I1827" s="209"/>
    </row>
    <row r="1828" spans="1:9" s="135" customFormat="1" ht="20.25" customHeight="1">
      <c r="A1828" s="273"/>
      <c r="E1828" s="273"/>
      <c r="F1828" s="273"/>
      <c r="G1828" s="273"/>
      <c r="H1828" s="273"/>
      <c r="I1828" s="209"/>
    </row>
    <row r="1829" spans="1:9" s="135" customFormat="1" ht="20.25" customHeight="1">
      <c r="A1829" s="273"/>
      <c r="E1829" s="273"/>
      <c r="F1829" s="273"/>
      <c r="G1829" s="273"/>
      <c r="H1829" s="273"/>
      <c r="I1829" s="209"/>
    </row>
    <row r="1830" spans="1:9" s="135" customFormat="1" ht="20.25" customHeight="1">
      <c r="A1830" s="273"/>
      <c r="E1830" s="273"/>
      <c r="F1830" s="273"/>
      <c r="G1830" s="273"/>
      <c r="H1830" s="273"/>
      <c r="I1830" s="209"/>
    </row>
    <row r="1831" spans="1:9" s="135" customFormat="1" ht="20.25" customHeight="1">
      <c r="A1831" s="273"/>
      <c r="E1831" s="273"/>
      <c r="F1831" s="273"/>
      <c r="G1831" s="273"/>
      <c r="H1831" s="273"/>
      <c r="I1831" s="209"/>
    </row>
    <row r="1832" spans="1:9" s="135" customFormat="1" ht="20.25" customHeight="1">
      <c r="A1832" s="273"/>
      <c r="E1832" s="273"/>
      <c r="F1832" s="273"/>
      <c r="G1832" s="273"/>
      <c r="H1832" s="273"/>
      <c r="I1832" s="209"/>
    </row>
    <row r="1833" spans="1:9" s="135" customFormat="1" ht="20.25" customHeight="1">
      <c r="A1833" s="273"/>
      <c r="E1833" s="273"/>
      <c r="F1833" s="273"/>
      <c r="G1833" s="273"/>
      <c r="H1833" s="273"/>
      <c r="I1833" s="209"/>
    </row>
    <row r="1834" spans="1:9" s="135" customFormat="1" ht="20.25" customHeight="1">
      <c r="A1834" s="273"/>
      <c r="E1834" s="273"/>
      <c r="F1834" s="273"/>
      <c r="G1834" s="273"/>
      <c r="H1834" s="273"/>
      <c r="I1834" s="209"/>
    </row>
    <row r="1835" spans="1:9" s="135" customFormat="1" ht="20.25" customHeight="1">
      <c r="A1835" s="273"/>
      <c r="E1835" s="273"/>
      <c r="F1835" s="273"/>
      <c r="G1835" s="273"/>
      <c r="H1835" s="273"/>
      <c r="I1835" s="209"/>
    </row>
    <row r="1836" spans="1:9" s="135" customFormat="1" ht="20.25" customHeight="1">
      <c r="A1836" s="273"/>
      <c r="E1836" s="273"/>
      <c r="F1836" s="273"/>
      <c r="G1836" s="273"/>
      <c r="H1836" s="273"/>
      <c r="I1836" s="209"/>
    </row>
    <row r="1837" spans="1:9" s="135" customFormat="1" ht="20.25" customHeight="1">
      <c r="A1837" s="273"/>
      <c r="E1837" s="273"/>
      <c r="F1837" s="273"/>
      <c r="G1837" s="273"/>
      <c r="H1837" s="273"/>
      <c r="I1837" s="209"/>
    </row>
    <row r="1838" spans="1:9" s="135" customFormat="1" ht="20.25" customHeight="1">
      <c r="A1838" s="273"/>
      <c r="E1838" s="273"/>
      <c r="F1838" s="273"/>
      <c r="G1838" s="273"/>
      <c r="H1838" s="273"/>
      <c r="I1838" s="209"/>
    </row>
    <row r="1839" spans="1:9" s="135" customFormat="1" ht="20.25" customHeight="1">
      <c r="A1839" s="273"/>
      <c r="E1839" s="273"/>
      <c r="F1839" s="273"/>
      <c r="G1839" s="273"/>
      <c r="H1839" s="273"/>
      <c r="I1839" s="209"/>
    </row>
    <row r="1840" spans="1:9" s="135" customFormat="1" ht="20.25" customHeight="1">
      <c r="A1840" s="273"/>
      <c r="E1840" s="273"/>
      <c r="F1840" s="273"/>
      <c r="G1840" s="273"/>
      <c r="H1840" s="273"/>
      <c r="I1840" s="209"/>
    </row>
    <row r="1841" spans="1:9" s="135" customFormat="1" ht="20.25" customHeight="1">
      <c r="A1841" s="273"/>
      <c r="E1841" s="273"/>
      <c r="F1841" s="273"/>
      <c r="G1841" s="273"/>
      <c r="H1841" s="273"/>
      <c r="I1841" s="209"/>
    </row>
    <row r="1842" spans="1:9" s="135" customFormat="1" ht="20.25" customHeight="1">
      <c r="A1842" s="273"/>
      <c r="E1842" s="273"/>
      <c r="F1842" s="273"/>
      <c r="G1842" s="273"/>
      <c r="H1842" s="273"/>
      <c r="I1842" s="209"/>
    </row>
    <row r="1843" spans="1:9" s="135" customFormat="1" ht="20.25" customHeight="1">
      <c r="A1843" s="273"/>
      <c r="E1843" s="273"/>
      <c r="F1843" s="273"/>
      <c r="G1843" s="273"/>
      <c r="H1843" s="273"/>
      <c r="I1843" s="209"/>
    </row>
    <row r="1844" spans="1:9" s="135" customFormat="1" ht="20.25" customHeight="1">
      <c r="A1844" s="273"/>
      <c r="E1844" s="273"/>
      <c r="F1844" s="273"/>
      <c r="G1844" s="273"/>
      <c r="H1844" s="273"/>
      <c r="I1844" s="209"/>
    </row>
    <row r="1845" spans="1:9" s="135" customFormat="1" ht="20.25" customHeight="1">
      <c r="A1845" s="273"/>
      <c r="E1845" s="273"/>
      <c r="F1845" s="273"/>
      <c r="G1845" s="273"/>
      <c r="H1845" s="273"/>
      <c r="I1845" s="209"/>
    </row>
    <row r="1846" spans="1:9" s="135" customFormat="1" ht="20.25" customHeight="1">
      <c r="A1846" s="273"/>
      <c r="E1846" s="273"/>
      <c r="F1846" s="273"/>
      <c r="G1846" s="273"/>
      <c r="H1846" s="273"/>
      <c r="I1846" s="209"/>
    </row>
    <row r="1847" spans="1:9" s="135" customFormat="1" ht="20.25" customHeight="1">
      <c r="A1847" s="273"/>
      <c r="E1847" s="273"/>
      <c r="F1847" s="273"/>
      <c r="G1847" s="273"/>
      <c r="H1847" s="273"/>
      <c r="I1847" s="209"/>
    </row>
    <row r="1848" spans="1:9" s="135" customFormat="1" ht="20.25" customHeight="1">
      <c r="A1848" s="273"/>
      <c r="E1848" s="273"/>
      <c r="F1848" s="273"/>
      <c r="G1848" s="273"/>
      <c r="H1848" s="273"/>
      <c r="I1848" s="209"/>
    </row>
    <row r="1849" spans="1:9" s="135" customFormat="1" ht="20.25" customHeight="1">
      <c r="A1849" s="273"/>
      <c r="E1849" s="273"/>
      <c r="F1849" s="273"/>
      <c r="G1849" s="273"/>
      <c r="H1849" s="273"/>
      <c r="I1849" s="209"/>
    </row>
    <row r="1850" spans="1:9" s="135" customFormat="1" ht="20.25" customHeight="1">
      <c r="A1850" s="273"/>
      <c r="E1850" s="273"/>
      <c r="F1850" s="273"/>
      <c r="G1850" s="273"/>
      <c r="H1850" s="273"/>
      <c r="I1850" s="209"/>
    </row>
    <row r="1851" spans="1:9" s="135" customFormat="1" ht="20.25" customHeight="1">
      <c r="A1851" s="273"/>
      <c r="E1851" s="273"/>
      <c r="F1851" s="273"/>
      <c r="G1851" s="273"/>
      <c r="H1851" s="273"/>
      <c r="I1851" s="209"/>
    </row>
    <row r="1852" spans="1:9" s="135" customFormat="1" ht="20.25" customHeight="1">
      <c r="A1852" s="273"/>
      <c r="E1852" s="273"/>
      <c r="F1852" s="273"/>
      <c r="G1852" s="273"/>
      <c r="H1852" s="273"/>
      <c r="I1852" s="209"/>
    </row>
    <row r="1853" spans="1:9" s="135" customFormat="1" ht="20.25" customHeight="1">
      <c r="A1853" s="273"/>
      <c r="E1853" s="273"/>
      <c r="F1853" s="273"/>
      <c r="G1853" s="273"/>
      <c r="H1853" s="273"/>
      <c r="I1853" s="209"/>
    </row>
    <row r="1854" spans="1:9" s="135" customFormat="1" ht="20.25" customHeight="1">
      <c r="A1854" s="273"/>
      <c r="E1854" s="273"/>
      <c r="F1854" s="273"/>
      <c r="G1854" s="273"/>
      <c r="H1854" s="273"/>
      <c r="I1854" s="209"/>
    </row>
    <row r="1855" spans="1:9" s="135" customFormat="1" ht="20.25" customHeight="1">
      <c r="A1855" s="273"/>
      <c r="E1855" s="273"/>
      <c r="F1855" s="273"/>
      <c r="G1855" s="273"/>
      <c r="H1855" s="273"/>
      <c r="I1855" s="209"/>
    </row>
    <row r="1856" spans="1:9" s="135" customFormat="1" ht="20.25" customHeight="1">
      <c r="A1856" s="273"/>
      <c r="E1856" s="273"/>
      <c r="F1856" s="273"/>
      <c r="G1856" s="273"/>
      <c r="H1856" s="273"/>
      <c r="I1856" s="209"/>
    </row>
    <row r="1857" spans="1:9" s="135" customFormat="1" ht="20.25" customHeight="1">
      <c r="A1857" s="273"/>
      <c r="E1857" s="273"/>
      <c r="F1857" s="273"/>
      <c r="G1857" s="273"/>
      <c r="H1857" s="273"/>
      <c r="I1857" s="441"/>
    </row>
    <row r="1858" spans="1:9" s="135" customFormat="1" ht="20.25" customHeight="1">
      <c r="A1858" s="273"/>
      <c r="E1858" s="273"/>
      <c r="F1858" s="273"/>
      <c r="G1858" s="273"/>
      <c r="H1858" s="273"/>
      <c r="I1858" s="441">
        <v>28</v>
      </c>
    </row>
    <row r="1859" spans="1:9" s="135" customFormat="1" ht="20.25" customHeight="1">
      <c r="A1859" s="273"/>
      <c r="E1859" s="273"/>
      <c r="F1859" s="273"/>
      <c r="G1859" s="273"/>
      <c r="H1859" s="273"/>
      <c r="I1859" s="441"/>
    </row>
    <row r="1860" spans="1:9" s="135" customFormat="1" ht="20.25" customHeight="1">
      <c r="A1860" s="273"/>
      <c r="E1860" s="273"/>
      <c r="F1860" s="273"/>
      <c r="G1860" s="273"/>
      <c r="H1860" s="273"/>
      <c r="I1860" s="209"/>
    </row>
    <row r="1861" spans="1:9" s="135" customFormat="1" ht="20.25" customHeight="1">
      <c r="A1861" s="273"/>
      <c r="E1861" s="273"/>
      <c r="F1861" s="273"/>
      <c r="G1861" s="273"/>
      <c r="H1861" s="273"/>
      <c r="I1861" s="209"/>
    </row>
    <row r="1862" spans="1:9" s="135" customFormat="1" ht="30" customHeight="1">
      <c r="A1862" s="278"/>
      <c r="B1862" s="606" t="s">
        <v>776</v>
      </c>
      <c r="C1862" s="606"/>
      <c r="D1862" s="606"/>
      <c r="E1862" s="606"/>
      <c r="F1862" s="606"/>
      <c r="G1862" s="606"/>
      <c r="I1862" s="272"/>
    </row>
    <row r="1863" spans="1:9" s="135" customFormat="1" ht="20.25" customHeight="1">
      <c r="A1863" s="278"/>
      <c r="B1863" s="278"/>
      <c r="C1863" s="278"/>
      <c r="D1863" s="278"/>
      <c r="E1863" s="278"/>
      <c r="I1863" s="272"/>
    </row>
    <row r="1864" s="135" customFormat="1" ht="20.25" customHeight="1">
      <c r="I1864" s="272"/>
    </row>
    <row r="1865" s="135" customFormat="1" ht="20.25" customHeight="1">
      <c r="I1865" s="272"/>
    </row>
    <row r="1866" spans="1:9" s="135" customFormat="1" ht="20.25" customHeight="1">
      <c r="A1866" s="138"/>
      <c r="B1866" s="518" t="s">
        <v>466</v>
      </c>
      <c r="C1866" s="518"/>
      <c r="D1866" s="518"/>
      <c r="E1866" s="518"/>
      <c r="F1866" s="518"/>
      <c r="G1866" s="518"/>
      <c r="H1866" s="518"/>
      <c r="I1866" s="518"/>
    </row>
    <row r="1867" spans="1:9" s="135" customFormat="1" ht="20.25" customHeight="1">
      <c r="A1867" s="518" t="s">
        <v>453</v>
      </c>
      <c r="B1867" s="518"/>
      <c r="C1867" s="518"/>
      <c r="D1867" s="518"/>
      <c r="E1867" s="518"/>
      <c r="F1867" s="518"/>
      <c r="G1867" s="518"/>
      <c r="H1867" s="518"/>
      <c r="I1867" s="518"/>
    </row>
    <row r="1868" spans="1:9" s="135" customFormat="1" ht="20.25" customHeight="1">
      <c r="A1868" s="518" t="s">
        <v>793</v>
      </c>
      <c r="B1868" s="518"/>
      <c r="C1868" s="518"/>
      <c r="D1868" s="518"/>
      <c r="E1868" s="518"/>
      <c r="F1868" s="518"/>
      <c r="G1868" s="518"/>
      <c r="H1868" s="518"/>
      <c r="I1868" s="518"/>
    </row>
    <row r="1869" spans="1:9" s="135" customFormat="1" ht="20.25" customHeight="1">
      <c r="A1869" s="518" t="s">
        <v>862</v>
      </c>
      <c r="B1869" s="518"/>
      <c r="C1869" s="518"/>
      <c r="D1869" s="518"/>
      <c r="E1869" s="518"/>
      <c r="F1869" s="518"/>
      <c r="G1869" s="518"/>
      <c r="H1869" s="518"/>
      <c r="I1869" s="518"/>
    </row>
    <row r="1870" spans="1:9" s="135" customFormat="1" ht="20.25" customHeight="1">
      <c r="A1870" s="191"/>
      <c r="B1870" s="518" t="s">
        <v>1073</v>
      </c>
      <c r="C1870" s="518"/>
      <c r="D1870" s="518"/>
      <c r="E1870" s="518"/>
      <c r="F1870" s="518"/>
      <c r="G1870" s="518"/>
      <c r="H1870" s="518"/>
      <c r="I1870" s="518"/>
    </row>
    <row r="1871" spans="1:9" s="135" customFormat="1" ht="20.25" customHeight="1">
      <c r="A1871" s="191"/>
      <c r="B1871" s="191"/>
      <c r="C1871" s="191"/>
      <c r="D1871" s="191"/>
      <c r="E1871" s="191"/>
      <c r="F1871" s="191"/>
      <c r="G1871" s="191"/>
      <c r="H1871" s="191"/>
      <c r="I1871" s="191"/>
    </row>
    <row r="1872" spans="1:8" s="135" customFormat="1" ht="20.25" customHeight="1">
      <c r="A1872" s="40"/>
      <c r="B1872" s="39"/>
      <c r="C1872"/>
      <c r="D1872" s="487" t="s">
        <v>682</v>
      </c>
      <c r="E1872" s="487"/>
      <c r="F1872" s="487"/>
      <c r="G1872" s="40"/>
      <c r="H1872" s="40"/>
    </row>
    <row r="1873" spans="1:8" s="135" customFormat="1" ht="20.25" customHeight="1">
      <c r="A1873" s="40"/>
      <c r="B1873" s="40"/>
      <c r="C1873" s="40"/>
      <c r="D1873" s="40"/>
      <c r="E1873" s="40"/>
      <c r="F1873" s="40"/>
      <c r="G1873" s="40"/>
      <c r="H1873" s="40"/>
    </row>
    <row r="1874" spans="1:9" s="135" customFormat="1" ht="20.25" customHeight="1">
      <c r="A1874" s="612" t="s">
        <v>683</v>
      </c>
      <c r="B1874" s="491" t="s">
        <v>688</v>
      </c>
      <c r="C1874" s="492"/>
      <c r="D1874" s="5" t="s">
        <v>686</v>
      </c>
      <c r="E1874" s="5" t="s">
        <v>712</v>
      </c>
      <c r="F1874" s="5" t="s">
        <v>686</v>
      </c>
      <c r="G1874" s="510" t="s">
        <v>713</v>
      </c>
      <c r="H1874" s="511"/>
      <c r="I1874" s="6" t="s">
        <v>714</v>
      </c>
    </row>
    <row r="1875" spans="1:9" s="135" customFormat="1" ht="20.25" customHeight="1">
      <c r="A1875" s="613"/>
      <c r="B1875" s="493"/>
      <c r="C1875" s="494"/>
      <c r="D1875" s="7" t="s">
        <v>656</v>
      </c>
      <c r="E1875" s="7" t="s">
        <v>715</v>
      </c>
      <c r="F1875" s="7" t="s">
        <v>657</v>
      </c>
      <c r="G1875" s="8" t="s">
        <v>706</v>
      </c>
      <c r="H1875" s="9" t="s">
        <v>707</v>
      </c>
      <c r="I1875" s="10" t="s">
        <v>717</v>
      </c>
    </row>
    <row r="1876" spans="1:9" s="135" customFormat="1" ht="20.25" customHeight="1">
      <c r="A1876" s="13">
        <v>1</v>
      </c>
      <c r="B1876" s="295">
        <v>2</v>
      </c>
      <c r="C1876" s="296"/>
      <c r="D1876" s="12">
        <v>3</v>
      </c>
      <c r="E1876" s="12">
        <v>4</v>
      </c>
      <c r="F1876" s="12">
        <v>5</v>
      </c>
      <c r="G1876" s="12">
        <v>6</v>
      </c>
      <c r="H1876" s="12">
        <v>7</v>
      </c>
      <c r="I1876" s="13">
        <v>8</v>
      </c>
    </row>
    <row r="1877" spans="1:9" s="135" customFormat="1" ht="20.25" customHeight="1">
      <c r="A1877" s="220">
        <v>50017</v>
      </c>
      <c r="B1877" s="664" t="s">
        <v>908</v>
      </c>
      <c r="C1877" s="665"/>
      <c r="D1877" s="151">
        <v>0</v>
      </c>
      <c r="E1877" s="290">
        <v>0</v>
      </c>
      <c r="F1877" s="14">
        <v>0</v>
      </c>
      <c r="G1877" s="15" t="e">
        <f aca="true" t="shared" si="86" ref="G1877:G1885">F1877/D1877</f>
        <v>#DIV/0!</v>
      </c>
      <c r="H1877" s="16" t="e">
        <f aca="true" t="shared" si="87" ref="H1877:H1885">F1877/E1877</f>
        <v>#DIV/0!</v>
      </c>
      <c r="I1877" s="276">
        <f>F1877/F1884</f>
        <v>0</v>
      </c>
    </row>
    <row r="1878" spans="1:9" s="135" customFormat="1" ht="20.25" customHeight="1">
      <c r="A1878" s="220">
        <v>50019</v>
      </c>
      <c r="B1878" s="664" t="s">
        <v>909</v>
      </c>
      <c r="C1878" s="665"/>
      <c r="D1878" s="151">
        <v>530</v>
      </c>
      <c r="E1878" s="290">
        <v>1500</v>
      </c>
      <c r="F1878" s="14">
        <v>0</v>
      </c>
      <c r="G1878" s="15">
        <f t="shared" si="86"/>
        <v>0</v>
      </c>
      <c r="H1878" s="16">
        <f t="shared" si="87"/>
        <v>0</v>
      </c>
      <c r="I1878" s="276">
        <f>F1878/F1884</f>
        <v>0</v>
      </c>
    </row>
    <row r="1879" spans="1:9" s="135" customFormat="1" ht="20.25" customHeight="1">
      <c r="A1879" s="188">
        <v>50206</v>
      </c>
      <c r="B1879" s="610" t="s">
        <v>274</v>
      </c>
      <c r="C1879" s="611"/>
      <c r="D1879" s="151">
        <v>90</v>
      </c>
      <c r="E1879" s="290">
        <v>700</v>
      </c>
      <c r="F1879" s="14">
        <v>2240</v>
      </c>
      <c r="G1879" s="15">
        <f t="shared" si="86"/>
        <v>24.88888888888889</v>
      </c>
      <c r="H1879" s="16">
        <f t="shared" si="87"/>
        <v>3.2</v>
      </c>
      <c r="I1879" s="16">
        <f>F1879/F1884</f>
        <v>0.16672869371045776</v>
      </c>
    </row>
    <row r="1880" spans="1:9" s="135" customFormat="1" ht="20.25" customHeight="1">
      <c r="A1880" s="304">
        <v>50208</v>
      </c>
      <c r="B1880" s="610" t="s">
        <v>275</v>
      </c>
      <c r="C1880" s="611"/>
      <c r="D1880" s="151">
        <v>5290</v>
      </c>
      <c r="E1880" s="290">
        <v>5000</v>
      </c>
      <c r="F1880" s="14">
        <v>8935</v>
      </c>
      <c r="G1880" s="15">
        <f t="shared" si="86"/>
        <v>1.6890359168241966</v>
      </c>
      <c r="H1880" s="16">
        <f t="shared" si="87"/>
        <v>1.787</v>
      </c>
      <c r="I1880" s="16">
        <f>F1880/F1884</f>
        <v>0.6650539635280982</v>
      </c>
    </row>
    <row r="1881" spans="1:9" s="135" customFormat="1" ht="20.25" customHeight="1">
      <c r="A1881" s="304" t="s">
        <v>641</v>
      </c>
      <c r="B1881" s="610" t="s">
        <v>642</v>
      </c>
      <c r="C1881" s="611"/>
      <c r="D1881" s="151">
        <v>0</v>
      </c>
      <c r="E1881" s="290">
        <v>2000</v>
      </c>
      <c r="F1881" s="14">
        <v>0</v>
      </c>
      <c r="G1881" s="15" t="e">
        <f t="shared" si="86"/>
        <v>#DIV/0!</v>
      </c>
      <c r="H1881" s="16">
        <f t="shared" si="87"/>
        <v>0</v>
      </c>
      <c r="I1881" s="16">
        <f>F1881/F1884</f>
        <v>0</v>
      </c>
    </row>
    <row r="1882" spans="1:9" s="135" customFormat="1" ht="20.25" customHeight="1">
      <c r="A1882" s="4">
        <v>50211</v>
      </c>
      <c r="B1882" s="610" t="s">
        <v>467</v>
      </c>
      <c r="C1882" s="611"/>
      <c r="D1882" s="151">
        <v>6880</v>
      </c>
      <c r="E1882" s="290">
        <v>16350</v>
      </c>
      <c r="F1882" s="14">
        <v>2260</v>
      </c>
      <c r="G1882" s="15">
        <f>F1882/D1882</f>
        <v>0.32848837209302323</v>
      </c>
      <c r="H1882" s="16">
        <f>F1882/E1882</f>
        <v>0.1382262996941896</v>
      </c>
      <c r="I1882" s="16">
        <f>F1882/F1884</f>
        <v>0.16821734276144398</v>
      </c>
    </row>
    <row r="1883" spans="1:9" s="135" customFormat="1" ht="20.25" customHeight="1">
      <c r="A1883" s="4">
        <v>50212</v>
      </c>
      <c r="B1883" s="610" t="s">
        <v>1059</v>
      </c>
      <c r="C1883" s="611"/>
      <c r="D1883" s="151">
        <v>0</v>
      </c>
      <c r="E1883" s="290">
        <v>0</v>
      </c>
      <c r="F1883" s="14">
        <v>0</v>
      </c>
      <c r="G1883" s="15" t="e">
        <f t="shared" si="86"/>
        <v>#DIV/0!</v>
      </c>
      <c r="H1883" s="16" t="e">
        <f t="shared" si="87"/>
        <v>#DIV/0!</v>
      </c>
      <c r="I1883" s="16">
        <f>F1883/F1884</f>
        <v>0</v>
      </c>
    </row>
    <row r="1884" spans="1:9" s="135" customFormat="1" ht="20.25" customHeight="1">
      <c r="A1884" s="429"/>
      <c r="B1884" s="674" t="s">
        <v>471</v>
      </c>
      <c r="C1884" s="675"/>
      <c r="D1884" s="427">
        <f>D1877+D1878+D1879+D1880+D1881+D1882+D1883</f>
        <v>12790</v>
      </c>
      <c r="E1884" s="427">
        <f>E1877+E1878+E1879+E1880+E1881+E1882+E1883</f>
        <v>25550</v>
      </c>
      <c r="F1884" s="427">
        <f>F1877+F1878+F1879+F1880+F1881+F1882+F1883</f>
        <v>13435</v>
      </c>
      <c r="G1884" s="428">
        <f t="shared" si="86"/>
        <v>1.0504300234558248</v>
      </c>
      <c r="H1884" s="405">
        <f t="shared" si="87"/>
        <v>0.5258317025440313</v>
      </c>
      <c r="I1884" s="405">
        <f>F1884/F1886</f>
        <v>0.1021176471303611</v>
      </c>
    </row>
    <row r="1885" spans="2:9" s="135" customFormat="1" ht="20.25" customHeight="1">
      <c r="B1885" s="504" t="s">
        <v>452</v>
      </c>
      <c r="C1885" s="505"/>
      <c r="D1885" s="151">
        <v>19912.5</v>
      </c>
      <c r="E1885" s="290">
        <v>0</v>
      </c>
      <c r="F1885" s="14">
        <v>118128.94</v>
      </c>
      <c r="G1885" s="15">
        <f t="shared" si="86"/>
        <v>5.932401255492781</v>
      </c>
      <c r="H1885" s="16" t="e">
        <f t="shared" si="87"/>
        <v>#DIV/0!</v>
      </c>
      <c r="I1885" s="16">
        <f>F1885/F1886</f>
        <v>0.8978823528696389</v>
      </c>
    </row>
    <row r="1886" spans="1:9" s="135" customFormat="1" ht="24.75" customHeight="1">
      <c r="A1886" s="17"/>
      <c r="B1886" s="293" t="s">
        <v>919</v>
      </c>
      <c r="C1886" s="294"/>
      <c r="D1886" s="279">
        <f>D1884+D1885</f>
        <v>32702.5</v>
      </c>
      <c r="E1886" s="279">
        <f>E1877+E1878+E1879+E1880+E1881+E1882+E1883+E1885</f>
        <v>25550</v>
      </c>
      <c r="F1886" s="301">
        <f>F1877+F1878+F1879+F1880+F1881+F1882+F1883+F1885</f>
        <v>131563.94</v>
      </c>
      <c r="G1886" s="265">
        <f>F1886/D1886</f>
        <v>4.023054506536198</v>
      </c>
      <c r="H1886" s="266">
        <f>F1886/E1886</f>
        <v>5.149273581213308</v>
      </c>
      <c r="I1886" s="213">
        <f>SUM(I1877:I1883)</f>
        <v>0.9999999999999999</v>
      </c>
    </row>
    <row r="1887" spans="1:9" s="135" customFormat="1" ht="20.25" customHeight="1">
      <c r="A1887" s="282"/>
      <c r="B1887" s="283"/>
      <c r="C1887" s="283"/>
      <c r="D1887" s="284"/>
      <c r="E1887" s="285"/>
      <c r="F1887" s="285"/>
      <c r="G1887" s="286"/>
      <c r="H1887" s="287"/>
      <c r="I1887" s="287"/>
    </row>
    <row r="1888" spans="1:9" s="135" customFormat="1" ht="20.25" customHeight="1">
      <c r="A1888" s="599" t="s">
        <v>962</v>
      </c>
      <c r="B1888" s="599"/>
      <c r="C1888" s="599"/>
      <c r="D1888" s="599"/>
      <c r="E1888" s="599"/>
      <c r="F1888" s="599"/>
      <c r="G1888" s="599"/>
      <c r="H1888" s="599"/>
      <c r="I1888" s="599"/>
    </row>
    <row r="1889" spans="1:9" s="135" customFormat="1" ht="20.25" customHeight="1">
      <c r="A1889" s="599" t="s">
        <v>963</v>
      </c>
      <c r="B1889" s="599"/>
      <c r="C1889" s="599"/>
      <c r="D1889" s="599"/>
      <c r="E1889" s="599"/>
      <c r="F1889" s="599"/>
      <c r="G1889" s="599"/>
      <c r="H1889" s="599"/>
      <c r="I1889" s="599"/>
    </row>
    <row r="1890" spans="1:9" s="135" customFormat="1" ht="20.25" customHeight="1">
      <c r="A1890" s="599" t="s">
        <v>454</v>
      </c>
      <c r="B1890" s="599"/>
      <c r="C1890" s="599"/>
      <c r="D1890" s="599"/>
      <c r="E1890" s="599"/>
      <c r="F1890" s="599"/>
      <c r="G1890" s="599"/>
      <c r="H1890" s="599"/>
      <c r="I1890" s="599"/>
    </row>
    <row r="1891" spans="1:9" s="135" customFormat="1" ht="20.25" customHeight="1">
      <c r="A1891" s="599" t="s">
        <v>455</v>
      </c>
      <c r="B1891" s="599"/>
      <c r="C1891" s="599"/>
      <c r="D1891" s="599"/>
      <c r="E1891" s="599"/>
      <c r="F1891" s="599"/>
      <c r="G1891" s="599"/>
      <c r="H1891" s="599"/>
      <c r="I1891" s="599"/>
    </row>
    <row r="1892" spans="1:9" s="135" customFormat="1" ht="20.25" customHeight="1">
      <c r="A1892" s="599" t="s">
        <v>964</v>
      </c>
      <c r="B1892" s="599"/>
      <c r="C1892" s="599"/>
      <c r="D1892" s="599"/>
      <c r="E1892" s="599"/>
      <c r="F1892" s="599"/>
      <c r="G1892" s="599"/>
      <c r="H1892" s="599"/>
      <c r="I1892" s="599"/>
    </row>
    <row r="1893" spans="1:9" s="135" customFormat="1" ht="20.25" customHeight="1">
      <c r="A1893" s="599" t="s">
        <v>456</v>
      </c>
      <c r="B1893" s="599"/>
      <c r="C1893" s="599"/>
      <c r="D1893" s="599"/>
      <c r="E1893" s="599"/>
      <c r="F1893" s="599"/>
      <c r="G1893" s="599"/>
      <c r="H1893" s="599"/>
      <c r="I1893" s="599"/>
    </row>
    <row r="1894" spans="1:9" s="135" customFormat="1" ht="20.25" customHeight="1">
      <c r="A1894" s="599" t="s">
        <v>457</v>
      </c>
      <c r="B1894" s="599"/>
      <c r="C1894" s="599"/>
      <c r="D1894" s="599"/>
      <c r="E1894" s="599"/>
      <c r="F1894" s="599"/>
      <c r="G1894" s="599"/>
      <c r="H1894" s="599"/>
      <c r="I1894" s="599"/>
    </row>
    <row r="1895" spans="1:9" s="135" customFormat="1" ht="20.25" customHeight="1">
      <c r="A1895" s="292"/>
      <c r="B1895" s="599" t="s">
        <v>846</v>
      </c>
      <c r="C1895" s="599"/>
      <c r="D1895" s="599"/>
      <c r="E1895" s="599"/>
      <c r="F1895" s="599"/>
      <c r="G1895" s="599"/>
      <c r="H1895" s="599"/>
      <c r="I1895" s="599"/>
    </row>
    <row r="1896" spans="1:9" s="135" customFormat="1" ht="20.25" customHeight="1">
      <c r="A1896" s="599" t="s">
        <v>855</v>
      </c>
      <c r="B1896" s="599"/>
      <c r="C1896" s="599"/>
      <c r="D1896" s="599"/>
      <c r="E1896" s="599"/>
      <c r="F1896" s="599"/>
      <c r="G1896" s="599"/>
      <c r="H1896" s="599"/>
      <c r="I1896" s="599"/>
    </row>
    <row r="1897" spans="1:8" s="135" customFormat="1" ht="20.25" customHeight="1">
      <c r="A1897" s="40"/>
      <c r="B1897" s="40"/>
      <c r="C1897"/>
      <c r="D1897" s="607" t="s">
        <v>682</v>
      </c>
      <c r="E1897" s="607"/>
      <c r="F1897" s="607"/>
      <c r="G1897" s="40"/>
      <c r="H1897" s="40"/>
    </row>
    <row r="1898" spans="1:8" s="135" customFormat="1" ht="20.25" customHeight="1">
      <c r="A1898" s="40"/>
      <c r="B1898" s="40"/>
      <c r="C1898" s="40"/>
      <c r="D1898" s="40"/>
      <c r="E1898" s="40"/>
      <c r="F1898" s="40"/>
      <c r="G1898" s="40"/>
      <c r="H1898" s="40"/>
    </row>
    <row r="1899" spans="1:9" s="135" customFormat="1" ht="20.25" customHeight="1">
      <c r="A1899" s="22" t="s">
        <v>683</v>
      </c>
      <c r="B1899" s="491" t="s">
        <v>688</v>
      </c>
      <c r="C1899" s="492"/>
      <c r="D1899" s="5" t="s">
        <v>686</v>
      </c>
      <c r="E1899" s="5" t="s">
        <v>712</v>
      </c>
      <c r="F1899" s="5" t="s">
        <v>686</v>
      </c>
      <c r="G1899" s="510" t="s">
        <v>713</v>
      </c>
      <c r="H1899" s="511"/>
      <c r="I1899" s="6" t="s">
        <v>714</v>
      </c>
    </row>
    <row r="1900" spans="1:9" s="135" customFormat="1" ht="20.25" customHeight="1">
      <c r="A1900" s="23" t="s">
        <v>97</v>
      </c>
      <c r="B1900" s="493"/>
      <c r="C1900" s="494"/>
      <c r="D1900" s="7" t="s">
        <v>656</v>
      </c>
      <c r="E1900" s="7" t="s">
        <v>715</v>
      </c>
      <c r="F1900" s="7" t="s">
        <v>657</v>
      </c>
      <c r="G1900" s="8" t="s">
        <v>706</v>
      </c>
      <c r="H1900" s="9" t="s">
        <v>707</v>
      </c>
      <c r="I1900" s="10" t="s">
        <v>717</v>
      </c>
    </row>
    <row r="1901" spans="1:9" s="135" customFormat="1" ht="20.25" customHeight="1">
      <c r="A1901" s="13">
        <v>1</v>
      </c>
      <c r="B1901" s="535">
        <v>2</v>
      </c>
      <c r="C1901" s="536"/>
      <c r="D1901" s="12">
        <v>3</v>
      </c>
      <c r="E1901" s="12">
        <v>4</v>
      </c>
      <c r="F1901" s="12">
        <v>5</v>
      </c>
      <c r="G1901" s="12">
        <v>6</v>
      </c>
      <c r="H1901" s="12">
        <v>7</v>
      </c>
      <c r="I1901" s="13">
        <v>8</v>
      </c>
    </row>
    <row r="1902" spans="1:9" s="135" customFormat="1" ht="20.25" customHeight="1">
      <c r="A1902" s="4">
        <v>111</v>
      </c>
      <c r="B1902" s="504" t="s">
        <v>540</v>
      </c>
      <c r="C1902" s="505"/>
      <c r="D1902" s="25">
        <v>18008.31</v>
      </c>
      <c r="E1902" s="25">
        <v>35000</v>
      </c>
      <c r="F1902" s="25">
        <v>26690.6</v>
      </c>
      <c r="G1902" s="15">
        <f aca="true" t="shared" si="88" ref="G1902:G1907">F1902/D1902</f>
        <v>1.4821268625429036</v>
      </c>
      <c r="H1902" s="16">
        <f aca="true" t="shared" si="89" ref="H1902:H1907">F1902/E1902</f>
        <v>0.7625885714285714</v>
      </c>
      <c r="I1902" s="16">
        <f>F1902/F1907</f>
        <v>0.3662644161054466</v>
      </c>
    </row>
    <row r="1903" spans="1:9" s="135" customFormat="1" ht="20.25" customHeight="1">
      <c r="A1903" s="4">
        <v>130</v>
      </c>
      <c r="B1903" s="504" t="s">
        <v>541</v>
      </c>
      <c r="C1903" s="505"/>
      <c r="D1903" s="234">
        <v>4960.48</v>
      </c>
      <c r="E1903" s="14">
        <v>8400</v>
      </c>
      <c r="F1903" s="14">
        <v>37249.01</v>
      </c>
      <c r="G1903" s="15">
        <f t="shared" si="88"/>
        <v>7.509154356030063</v>
      </c>
      <c r="H1903" s="16">
        <f t="shared" si="89"/>
        <v>4.434405952380953</v>
      </c>
      <c r="I1903" s="16">
        <f>F1903/F1907</f>
        <v>0.5111532486401933</v>
      </c>
    </row>
    <row r="1904" spans="1:9" s="135" customFormat="1" ht="20.25" customHeight="1">
      <c r="A1904" s="4">
        <v>132</v>
      </c>
      <c r="B1904" s="504" t="s">
        <v>542</v>
      </c>
      <c r="C1904" s="505"/>
      <c r="D1904" s="238">
        <v>0</v>
      </c>
      <c r="E1904" s="25">
        <v>0</v>
      </c>
      <c r="F1904" s="25">
        <v>0</v>
      </c>
      <c r="G1904" s="15" t="e">
        <f t="shared" si="88"/>
        <v>#DIV/0!</v>
      </c>
      <c r="H1904" s="16" t="e">
        <f t="shared" si="89"/>
        <v>#DIV/0!</v>
      </c>
      <c r="I1904" s="16">
        <f>F1904/F1907</f>
        <v>0</v>
      </c>
    </row>
    <row r="1905" spans="1:9" s="135" customFormat="1" ht="20.25" customHeight="1">
      <c r="A1905" s="4">
        <v>200</v>
      </c>
      <c r="B1905" s="504" t="s">
        <v>543</v>
      </c>
      <c r="C1905" s="505"/>
      <c r="D1905" s="54">
        <v>0</v>
      </c>
      <c r="E1905" s="25">
        <v>0</v>
      </c>
      <c r="F1905" s="25">
        <v>0</v>
      </c>
      <c r="G1905" s="15" t="e">
        <f t="shared" si="88"/>
        <v>#DIV/0!</v>
      </c>
      <c r="H1905" s="16" t="e">
        <f t="shared" si="89"/>
        <v>#DIV/0!</v>
      </c>
      <c r="I1905" s="16">
        <f>F1905/F1907</f>
        <v>0</v>
      </c>
    </row>
    <row r="1906" spans="1:9" s="135" customFormat="1" ht="20.25" customHeight="1">
      <c r="A1906" s="4">
        <v>300</v>
      </c>
      <c r="B1906" s="504" t="s">
        <v>544</v>
      </c>
      <c r="C1906" s="505"/>
      <c r="D1906" s="25">
        <v>32317.52</v>
      </c>
      <c r="E1906" s="25">
        <v>45000</v>
      </c>
      <c r="F1906" s="25">
        <v>8932.88</v>
      </c>
      <c r="G1906" s="15">
        <f t="shared" si="88"/>
        <v>0.27640982352606264</v>
      </c>
      <c r="H1906" s="16">
        <f t="shared" si="89"/>
        <v>0.19850844444444443</v>
      </c>
      <c r="I1906" s="16">
        <f>F1906/F1907</f>
        <v>0.12258233525436003</v>
      </c>
    </row>
    <row r="1907" spans="1:9" s="135" customFormat="1" ht="30" customHeight="1">
      <c r="A1907" s="17"/>
      <c r="B1907" s="548" t="s">
        <v>95</v>
      </c>
      <c r="C1907" s="549"/>
      <c r="D1907" s="288">
        <f>D1902+D1903+D1904+D1905+D1906</f>
        <v>55286.31</v>
      </c>
      <c r="E1907" s="211">
        <f>E1902+E1903+E1904+E1905+E1906</f>
        <v>88400</v>
      </c>
      <c r="F1907" s="211">
        <f>F1902+F1903+F1904+F1905+F1906</f>
        <v>72872.49</v>
      </c>
      <c r="G1907" s="265">
        <f t="shared" si="88"/>
        <v>1.3180928515576462</v>
      </c>
      <c r="H1907" s="266">
        <f t="shared" si="89"/>
        <v>0.8243494343891403</v>
      </c>
      <c r="I1907" s="266">
        <f>SUM(I1902:I1906)</f>
        <v>0.9999999999999999</v>
      </c>
    </row>
    <row r="1908" spans="1:8" s="135" customFormat="1" ht="20.25" customHeight="1">
      <c r="A1908" s="49"/>
      <c r="B1908" s="49"/>
      <c r="C1908" s="49"/>
      <c r="D1908" s="49"/>
      <c r="E1908" s="208"/>
      <c r="F1908" s="49"/>
      <c r="G1908" s="49"/>
      <c r="H1908" s="40"/>
    </row>
    <row r="1909" spans="1:9" s="135" customFormat="1" ht="20.25" customHeight="1">
      <c r="A1909" s="299"/>
      <c r="B1909" s="600" t="s">
        <v>458</v>
      </c>
      <c r="C1909" s="600"/>
      <c r="D1909" s="600"/>
      <c r="E1909" s="600"/>
      <c r="F1909" s="600"/>
      <c r="G1909" s="600"/>
      <c r="H1909" s="600"/>
      <c r="I1909" s="600"/>
    </row>
    <row r="1910" spans="1:9" s="135" customFormat="1" ht="20.25" customHeight="1">
      <c r="A1910" s="600" t="s">
        <v>969</v>
      </c>
      <c r="B1910" s="600"/>
      <c r="C1910" s="600"/>
      <c r="D1910" s="600"/>
      <c r="E1910" s="600"/>
      <c r="F1910" s="600"/>
      <c r="G1910" s="600"/>
      <c r="H1910" s="600"/>
      <c r="I1910" s="600"/>
    </row>
    <row r="1911" spans="1:9" s="135" customFormat="1" ht="20.25" customHeight="1">
      <c r="A1911" s="600" t="s">
        <v>970</v>
      </c>
      <c r="B1911" s="600"/>
      <c r="C1911" s="600"/>
      <c r="D1911" s="600"/>
      <c r="E1911" s="600"/>
      <c r="F1911" s="600"/>
      <c r="G1911" s="600"/>
      <c r="H1911" s="600"/>
      <c r="I1911" s="600"/>
    </row>
    <row r="1912" spans="1:9" s="135" customFormat="1" ht="20.25" customHeight="1">
      <c r="A1912" s="503" t="s">
        <v>459</v>
      </c>
      <c r="B1912" s="503"/>
      <c r="C1912" s="503"/>
      <c r="D1912" s="503"/>
      <c r="E1912" s="503"/>
      <c r="F1912" s="503"/>
      <c r="G1912" s="503"/>
      <c r="H1912" s="503"/>
      <c r="I1912" s="503"/>
    </row>
    <row r="1913" spans="1:9" s="135" customFormat="1" ht="20.25" customHeight="1">
      <c r="A1913" s="486" t="s">
        <v>460</v>
      </c>
      <c r="B1913" s="486"/>
      <c r="C1913" s="486"/>
      <c r="D1913" s="486"/>
      <c r="E1913" s="486"/>
      <c r="F1913" s="486"/>
      <c r="G1913" s="486"/>
      <c r="H1913" s="486"/>
      <c r="I1913" s="486"/>
    </row>
    <row r="1914" spans="1:9" s="135" customFormat="1" ht="20.25" customHeight="1">
      <c r="A1914" s="486" t="s">
        <v>461</v>
      </c>
      <c r="B1914" s="486"/>
      <c r="C1914" s="486"/>
      <c r="D1914" s="486"/>
      <c r="E1914" s="486"/>
      <c r="F1914" s="486"/>
      <c r="G1914" s="486"/>
      <c r="H1914" s="486"/>
      <c r="I1914" s="486"/>
    </row>
    <row r="1915" spans="1:9" s="135" customFormat="1" ht="20.25" customHeight="1">
      <c r="A1915" s="486" t="s">
        <v>462</v>
      </c>
      <c r="B1915" s="486"/>
      <c r="C1915" s="486"/>
      <c r="D1915" s="486"/>
      <c r="E1915" s="486"/>
      <c r="F1915" s="486"/>
      <c r="G1915" s="486"/>
      <c r="H1915" s="486"/>
      <c r="I1915" s="486"/>
    </row>
    <row r="1916" spans="1:9" s="135" customFormat="1" ht="20.25" customHeight="1">
      <c r="A1916" s="486" t="s">
        <v>463</v>
      </c>
      <c r="B1916" s="486"/>
      <c r="C1916" s="486"/>
      <c r="D1916" s="486"/>
      <c r="E1916" s="486"/>
      <c r="F1916" s="486"/>
      <c r="G1916" s="486"/>
      <c r="H1916" s="486"/>
      <c r="I1916" s="486"/>
    </row>
    <row r="1917" spans="1:9" s="135" customFormat="1" ht="20.25" customHeight="1">
      <c r="A1917" s="486" t="s">
        <v>464</v>
      </c>
      <c r="B1917" s="486"/>
      <c r="C1917" s="486"/>
      <c r="D1917" s="486"/>
      <c r="E1917" s="486"/>
      <c r="F1917" s="486"/>
      <c r="G1917" s="486"/>
      <c r="H1917" s="486"/>
      <c r="I1917" s="486"/>
    </row>
    <row r="1918" spans="1:9" s="135" customFormat="1" ht="20.25" customHeight="1">
      <c r="A1918" s="39"/>
      <c r="B1918" s="39"/>
      <c r="C1918" s="39"/>
      <c r="D1918" s="39"/>
      <c r="E1918" s="39"/>
      <c r="F1918" s="39"/>
      <c r="G1918" s="39"/>
      <c r="H1918" s="39"/>
      <c r="I1918" s="430"/>
    </row>
    <row r="1919" spans="1:9" s="135" customFormat="1" ht="20.25" customHeight="1">
      <c r="A1919" s="39"/>
      <c r="B1919" s="39"/>
      <c r="C1919" s="39"/>
      <c r="D1919" s="39"/>
      <c r="E1919" s="39"/>
      <c r="F1919" s="39"/>
      <c r="G1919" s="39"/>
      <c r="H1919" s="39"/>
      <c r="I1919" s="430"/>
    </row>
    <row r="1920" spans="1:9" s="135" customFormat="1" ht="20.25" customHeight="1">
      <c r="A1920" s="39"/>
      <c r="B1920" s="39"/>
      <c r="C1920" s="39"/>
      <c r="D1920" s="39"/>
      <c r="E1920" s="39"/>
      <c r="F1920" s="39"/>
      <c r="G1920" s="39"/>
      <c r="H1920" s="39"/>
      <c r="I1920" s="430"/>
    </row>
    <row r="1921" spans="1:9" s="135" customFormat="1" ht="20.25" customHeight="1">
      <c r="A1921" s="273"/>
      <c r="B1921" s="273"/>
      <c r="C1921" s="273"/>
      <c r="D1921" s="273"/>
      <c r="E1921" s="273"/>
      <c r="F1921" s="273"/>
      <c r="G1921" s="273"/>
      <c r="H1921" s="273"/>
      <c r="I1921" s="430">
        <v>29</v>
      </c>
    </row>
    <row r="1922" spans="1:9" s="135" customFormat="1" ht="20.25" customHeight="1">
      <c r="A1922" s="273"/>
      <c r="B1922" s="273"/>
      <c r="C1922" s="273"/>
      <c r="D1922" s="273"/>
      <c r="E1922" s="273"/>
      <c r="F1922" s="273"/>
      <c r="G1922" s="273"/>
      <c r="H1922" s="273"/>
      <c r="I1922" s="272"/>
    </row>
    <row r="1923" spans="1:8" s="135" customFormat="1" ht="30" customHeight="1">
      <c r="A1923" s="273"/>
      <c r="E1923" s="273"/>
      <c r="F1923" s="273"/>
      <c r="G1923" s="273"/>
      <c r="H1923" s="273"/>
    </row>
    <row r="1924" spans="1:9" s="135" customFormat="1" ht="20.25" customHeight="1">
      <c r="A1924" s="273"/>
      <c r="B1924" s="281"/>
      <c r="C1924" s="281"/>
      <c r="D1924" s="281"/>
      <c r="E1924" s="273"/>
      <c r="F1924" s="273"/>
      <c r="G1924" s="273"/>
      <c r="H1924" s="273"/>
      <c r="I1924" s="273"/>
    </row>
    <row r="1925" spans="1:9" s="135" customFormat="1" ht="20.25" customHeight="1">
      <c r="A1925" s="273"/>
      <c r="B1925" s="281"/>
      <c r="C1925" s="281"/>
      <c r="D1925" s="281"/>
      <c r="E1925" s="273"/>
      <c r="F1925" s="273"/>
      <c r="G1925" s="273"/>
      <c r="H1925" s="273"/>
      <c r="I1925" s="273"/>
    </row>
    <row r="1926" spans="1:9" s="135" customFormat="1" ht="20.25" customHeight="1">
      <c r="A1926" s="273"/>
      <c r="B1926" s="281"/>
      <c r="C1926" s="281"/>
      <c r="D1926" s="281"/>
      <c r="E1926" s="273"/>
      <c r="F1926" s="273"/>
      <c r="G1926" s="273"/>
      <c r="H1926" s="273"/>
      <c r="I1926" s="273"/>
    </row>
    <row r="1927" spans="1:8" s="135" customFormat="1" ht="30" customHeight="1">
      <c r="A1927" s="273"/>
      <c r="B1927" s="605" t="s">
        <v>992</v>
      </c>
      <c r="C1927" s="605"/>
      <c r="D1927" s="605"/>
      <c r="E1927" s="273"/>
      <c r="F1927" s="273"/>
      <c r="G1927" s="273"/>
      <c r="H1927" s="273"/>
    </row>
    <row r="1928" spans="1:9" s="135" customFormat="1" ht="20.25" customHeight="1">
      <c r="A1928" s="273"/>
      <c r="B1928" s="273"/>
      <c r="C1928" s="273"/>
      <c r="D1928" s="273"/>
      <c r="E1928" s="273"/>
      <c r="F1928" s="273"/>
      <c r="G1928" s="273"/>
      <c r="H1928" s="273"/>
      <c r="I1928" s="273"/>
    </row>
    <row r="1929" spans="1:9" s="135" customFormat="1" ht="20.25" customHeight="1">
      <c r="A1929" s="273"/>
      <c r="B1929" s="273"/>
      <c r="C1929" s="273"/>
      <c r="D1929" s="273"/>
      <c r="E1929" s="273"/>
      <c r="F1929" s="273"/>
      <c r="G1929" s="273"/>
      <c r="H1929" s="273"/>
      <c r="I1929" s="273"/>
    </row>
    <row r="1930" spans="1:9" s="135" customFormat="1" ht="20.25" customHeight="1">
      <c r="A1930" s="273"/>
      <c r="F1930" s="273"/>
      <c r="G1930" s="273"/>
      <c r="H1930" s="273"/>
      <c r="I1930" s="273"/>
    </row>
    <row r="1931" spans="1:9" s="135" customFormat="1" ht="20.25" customHeight="1">
      <c r="A1931" s="273"/>
      <c r="B1931" s="273"/>
      <c r="C1931" s="273"/>
      <c r="D1931" s="273"/>
      <c r="E1931" s="273"/>
      <c r="F1931" s="273"/>
      <c r="G1931" s="273"/>
      <c r="H1931" s="273"/>
      <c r="I1931" s="273"/>
    </row>
    <row r="1932" spans="1:9" s="135" customFormat="1" ht="20.25" customHeight="1">
      <c r="A1932" s="273"/>
      <c r="B1932" s="273"/>
      <c r="C1932" s="273"/>
      <c r="D1932" s="273"/>
      <c r="E1932" s="273"/>
      <c r="F1932" s="273"/>
      <c r="G1932" s="273"/>
      <c r="H1932" s="273"/>
      <c r="I1932" s="273"/>
    </row>
    <row r="1933" spans="1:9" s="135" customFormat="1" ht="20.25" customHeight="1">
      <c r="A1933" s="273"/>
      <c r="B1933" s="273"/>
      <c r="C1933" s="273"/>
      <c r="D1933" s="273"/>
      <c r="E1933" s="273"/>
      <c r="F1933" s="273"/>
      <c r="G1933" s="273"/>
      <c r="H1933" s="273"/>
      <c r="I1933" s="273"/>
    </row>
    <row r="1934" spans="1:9" s="135" customFormat="1" ht="20.25" customHeight="1">
      <c r="A1934" s="273"/>
      <c r="F1934" s="273"/>
      <c r="G1934" s="273"/>
      <c r="H1934" s="273"/>
      <c r="I1934" s="273"/>
    </row>
    <row r="1935" spans="1:9" s="135" customFormat="1" ht="20.25" customHeight="1">
      <c r="A1935" s="273"/>
      <c r="B1935" s="273"/>
      <c r="C1935" s="273"/>
      <c r="D1935" s="273"/>
      <c r="E1935" s="273"/>
      <c r="F1935" s="273"/>
      <c r="G1935" s="273"/>
      <c r="H1935" s="273"/>
      <c r="I1935" s="273"/>
    </row>
    <row r="1936" spans="1:8" s="135" customFormat="1" ht="30" customHeight="1">
      <c r="A1936" s="273"/>
      <c r="F1936" s="273"/>
      <c r="G1936" s="273"/>
      <c r="H1936" s="273"/>
    </row>
    <row r="1937" spans="1:9" s="135" customFormat="1" ht="20.25" customHeight="1">
      <c r="A1937" s="273"/>
      <c r="B1937" s="273"/>
      <c r="C1937" s="273"/>
      <c r="D1937" s="273"/>
      <c r="E1937" s="273"/>
      <c r="F1937" s="273"/>
      <c r="G1937" s="273"/>
      <c r="H1937" s="273"/>
      <c r="I1937" s="273"/>
    </row>
    <row r="1938" spans="1:9" s="135" customFormat="1" ht="20.25" customHeight="1">
      <c r="A1938" s="273"/>
      <c r="B1938" s="273"/>
      <c r="C1938" s="273"/>
      <c r="D1938" s="273"/>
      <c r="E1938" s="273"/>
      <c r="F1938" s="273"/>
      <c r="G1938" s="273"/>
      <c r="H1938" s="273"/>
      <c r="I1938" s="273"/>
    </row>
    <row r="1939" spans="1:9" s="135" customFormat="1" ht="20.25" customHeight="1">
      <c r="A1939" s="273"/>
      <c r="B1939" s="273"/>
      <c r="C1939" s="273"/>
      <c r="D1939" s="273"/>
      <c r="E1939" s="273"/>
      <c r="F1939" s="273"/>
      <c r="G1939" s="273"/>
      <c r="H1939" s="273"/>
      <c r="I1939" s="273"/>
    </row>
    <row r="1940" spans="1:9" s="135" customFormat="1" ht="30" customHeight="1">
      <c r="A1940" s="273"/>
      <c r="B1940" s="605" t="s">
        <v>993</v>
      </c>
      <c r="C1940" s="605"/>
      <c r="D1940" s="605"/>
      <c r="E1940" s="605"/>
      <c r="F1940" s="273"/>
      <c r="G1940" s="273"/>
      <c r="H1940" s="273"/>
      <c r="I1940" s="273"/>
    </row>
    <row r="1941" spans="1:9" s="135" customFormat="1" ht="20.25" customHeight="1">
      <c r="A1941" s="273"/>
      <c r="B1941" s="273"/>
      <c r="C1941" s="273"/>
      <c r="D1941" s="273"/>
      <c r="E1941" s="273"/>
      <c r="F1941" s="273"/>
      <c r="G1941" s="273"/>
      <c r="H1941" s="273"/>
      <c r="I1941" s="273"/>
    </row>
    <row r="1942" spans="1:9" s="135" customFormat="1" ht="20.25" customHeight="1">
      <c r="A1942" s="273"/>
      <c r="B1942" s="273"/>
      <c r="C1942" s="273"/>
      <c r="D1942" s="273"/>
      <c r="E1942" s="273"/>
      <c r="F1942" s="273"/>
      <c r="G1942" s="273"/>
      <c r="H1942" s="273"/>
      <c r="I1942" s="273"/>
    </row>
    <row r="1943" spans="1:9" s="135" customFormat="1" ht="20.25" customHeight="1">
      <c r="A1943" s="273"/>
      <c r="B1943" s="273"/>
      <c r="C1943" s="273"/>
      <c r="D1943" s="273"/>
      <c r="E1943" s="273"/>
      <c r="F1943" s="273"/>
      <c r="G1943" s="273"/>
      <c r="H1943" s="273"/>
      <c r="I1943" s="273"/>
    </row>
    <row r="1944" spans="1:9" s="135" customFormat="1" ht="20.25" customHeight="1">
      <c r="A1944" s="273"/>
      <c r="B1944" s="273"/>
      <c r="C1944" s="273"/>
      <c r="D1944" s="273"/>
      <c r="E1944" s="273"/>
      <c r="F1944" s="273"/>
      <c r="G1944" s="273"/>
      <c r="H1944" s="273"/>
      <c r="I1944" s="273"/>
    </row>
    <row r="1945" spans="1:9" s="135" customFormat="1" ht="20.25" customHeight="1">
      <c r="A1945" s="273"/>
      <c r="B1945" s="273"/>
      <c r="C1945" s="273"/>
      <c r="D1945" s="273"/>
      <c r="E1945" s="273"/>
      <c r="F1945" s="273"/>
      <c r="G1945" s="273"/>
      <c r="H1945" s="273"/>
      <c r="I1945" s="273"/>
    </row>
    <row r="1946" spans="1:9" s="135" customFormat="1" ht="20.25" customHeight="1">
      <c r="A1946" s="273"/>
      <c r="B1946" s="273"/>
      <c r="C1946" s="273"/>
      <c r="D1946" s="273"/>
      <c r="E1946" s="273"/>
      <c r="F1946" s="273"/>
      <c r="G1946" s="273"/>
      <c r="H1946" s="273"/>
      <c r="I1946" s="273"/>
    </row>
    <row r="1947" spans="1:9" s="135" customFormat="1" ht="20.25" customHeight="1">
      <c r="A1947" s="273"/>
      <c r="B1947" s="273"/>
      <c r="C1947" s="273"/>
      <c r="D1947" s="273"/>
      <c r="E1947" s="273"/>
      <c r="F1947" s="273"/>
      <c r="G1947" s="273"/>
      <c r="H1947" s="273"/>
      <c r="I1947" s="273"/>
    </row>
    <row r="1948" spans="1:9" s="135" customFormat="1" ht="20.25" customHeight="1">
      <c r="A1948" s="273"/>
      <c r="B1948" s="273"/>
      <c r="C1948" s="273"/>
      <c r="D1948" s="273"/>
      <c r="E1948" s="273"/>
      <c r="F1948" s="273"/>
      <c r="G1948" s="273"/>
      <c r="H1948" s="273"/>
      <c r="I1948" s="273"/>
    </row>
    <row r="1949" spans="1:9" s="135" customFormat="1" ht="20.25" customHeight="1">
      <c r="A1949" s="273"/>
      <c r="B1949" s="273"/>
      <c r="C1949" s="273"/>
      <c r="D1949" s="273"/>
      <c r="E1949" s="273"/>
      <c r="F1949" s="273"/>
      <c r="G1949" s="273"/>
      <c r="H1949" s="273"/>
      <c r="I1949" s="273"/>
    </row>
    <row r="1950" spans="1:9" s="135" customFormat="1" ht="20.25" customHeight="1">
      <c r="A1950" s="273"/>
      <c r="B1950" s="273"/>
      <c r="C1950" s="273"/>
      <c r="D1950" s="273"/>
      <c r="E1950" s="273"/>
      <c r="F1950" s="273"/>
      <c r="G1950" s="273"/>
      <c r="H1950" s="273"/>
      <c r="I1950" s="273"/>
    </row>
    <row r="1951" spans="1:9" s="135" customFormat="1" ht="20.25" customHeight="1">
      <c r="A1951" s="273"/>
      <c r="B1951" s="273"/>
      <c r="C1951" s="273"/>
      <c r="D1951" s="273"/>
      <c r="E1951" s="273"/>
      <c r="F1951" s="273"/>
      <c r="G1951" s="273"/>
      <c r="H1951" s="273"/>
      <c r="I1951" s="273"/>
    </row>
    <row r="1952" spans="1:9" s="135" customFormat="1" ht="20.25" customHeight="1">
      <c r="A1952" s="273"/>
      <c r="B1952" s="273"/>
      <c r="C1952" s="273"/>
      <c r="D1952" s="273"/>
      <c r="E1952" s="273"/>
      <c r="F1952" s="273"/>
      <c r="G1952" s="273"/>
      <c r="H1952" s="273"/>
      <c r="I1952" s="273"/>
    </row>
    <row r="1953" spans="1:9" s="135" customFormat="1" ht="20.25" customHeight="1">
      <c r="A1953" s="273"/>
      <c r="B1953" s="273"/>
      <c r="C1953" s="273"/>
      <c r="D1953" s="273"/>
      <c r="E1953" s="273"/>
      <c r="F1953" s="273"/>
      <c r="G1953" s="273"/>
      <c r="H1953" s="273"/>
      <c r="I1953" s="273"/>
    </row>
    <row r="1954" spans="1:9" s="135" customFormat="1" ht="20.25" customHeight="1">
      <c r="A1954" s="273"/>
      <c r="B1954" s="273"/>
      <c r="C1954" s="273"/>
      <c r="D1954" s="273"/>
      <c r="E1954" s="273"/>
      <c r="F1954" s="273"/>
      <c r="G1954" s="273"/>
      <c r="H1954" s="273"/>
      <c r="I1954" s="273"/>
    </row>
    <row r="1955" spans="1:9" s="135" customFormat="1" ht="20.25" customHeight="1">
      <c r="A1955" s="273"/>
      <c r="B1955" s="273"/>
      <c r="C1955" s="273"/>
      <c r="D1955" s="273"/>
      <c r="E1955" s="273"/>
      <c r="F1955" s="273"/>
      <c r="G1955" s="273"/>
      <c r="H1955" s="273"/>
      <c r="I1955" s="273"/>
    </row>
    <row r="1956" spans="1:9" s="135" customFormat="1" ht="20.25" customHeight="1">
      <c r="A1956" s="273"/>
      <c r="B1956" s="273"/>
      <c r="C1956" s="273"/>
      <c r="D1956" s="273"/>
      <c r="E1956" s="273"/>
      <c r="F1956" s="273"/>
      <c r="G1956" s="273"/>
      <c r="H1956" s="273"/>
      <c r="I1956" s="273"/>
    </row>
    <row r="1957" spans="1:9" s="135" customFormat="1" ht="20.25" customHeight="1">
      <c r="A1957" s="273"/>
      <c r="B1957" s="273"/>
      <c r="C1957" s="273"/>
      <c r="D1957" s="273"/>
      <c r="E1957" s="273"/>
      <c r="F1957" s="273"/>
      <c r="G1957" s="273"/>
      <c r="H1957" s="273"/>
      <c r="I1957" s="273"/>
    </row>
    <row r="1958" spans="1:9" s="135" customFormat="1" ht="20.25" customHeight="1">
      <c r="A1958" s="273"/>
      <c r="B1958" s="273"/>
      <c r="C1958" s="273"/>
      <c r="D1958" s="273"/>
      <c r="E1958" s="273"/>
      <c r="F1958" s="273"/>
      <c r="G1958" s="273"/>
      <c r="H1958" s="273"/>
      <c r="I1958" s="273"/>
    </row>
    <row r="1959" spans="1:9" s="135" customFormat="1" ht="20.25" customHeight="1">
      <c r="A1959" s="273"/>
      <c r="B1959" s="273"/>
      <c r="C1959" s="273"/>
      <c r="D1959" s="273"/>
      <c r="E1959" s="273"/>
      <c r="F1959" s="273"/>
      <c r="G1959" s="273"/>
      <c r="H1959" s="273"/>
      <c r="I1959" s="273"/>
    </row>
    <row r="1960" spans="1:9" s="135" customFormat="1" ht="20.25" customHeight="1">
      <c r="A1960" s="273"/>
      <c r="B1960" s="273"/>
      <c r="C1960" s="273"/>
      <c r="D1960" s="273"/>
      <c r="E1960" s="273"/>
      <c r="F1960" s="273"/>
      <c r="G1960" s="273"/>
      <c r="H1960" s="273"/>
      <c r="I1960" s="273"/>
    </row>
    <row r="1961" spans="1:9" s="135" customFormat="1" ht="20.25" customHeight="1">
      <c r="A1961" s="273"/>
      <c r="B1961" s="273"/>
      <c r="C1961" s="273"/>
      <c r="D1961" s="273"/>
      <c r="E1961" s="273"/>
      <c r="F1961" s="273"/>
      <c r="G1961" s="273"/>
      <c r="H1961" s="273"/>
      <c r="I1961" s="273"/>
    </row>
    <row r="1962" spans="1:9" s="135" customFormat="1" ht="20.25" customHeight="1">
      <c r="A1962" s="273"/>
      <c r="B1962" s="273"/>
      <c r="C1962" s="273"/>
      <c r="D1962" s="273"/>
      <c r="E1962" s="273"/>
      <c r="F1962" s="273"/>
      <c r="G1962" s="273"/>
      <c r="H1962" s="273"/>
      <c r="I1962" s="273"/>
    </row>
    <row r="1963" spans="1:9" s="135" customFormat="1" ht="20.25" customHeight="1">
      <c r="A1963" s="273"/>
      <c r="B1963" s="273"/>
      <c r="C1963" s="273"/>
      <c r="D1963" s="273"/>
      <c r="E1963" s="273"/>
      <c r="F1963" s="273"/>
      <c r="G1963" s="273"/>
      <c r="H1963" s="273"/>
      <c r="I1963" s="273"/>
    </row>
    <row r="1964" spans="1:9" s="135" customFormat="1" ht="20.25" customHeight="1">
      <c r="A1964" s="273"/>
      <c r="B1964" s="273"/>
      <c r="C1964" s="273"/>
      <c r="D1964" s="273"/>
      <c r="E1964" s="273"/>
      <c r="F1964" s="273"/>
      <c r="G1964" s="273"/>
      <c r="H1964" s="273"/>
      <c r="I1964" s="273"/>
    </row>
    <row r="1965" spans="1:9" s="135" customFormat="1" ht="20.25" customHeight="1">
      <c r="A1965" s="273"/>
      <c r="B1965" s="273"/>
      <c r="C1965" s="273"/>
      <c r="D1965" s="273"/>
      <c r="E1965" s="273"/>
      <c r="F1965" s="273"/>
      <c r="G1965" s="273"/>
      <c r="H1965" s="273"/>
      <c r="I1965" s="273"/>
    </row>
    <row r="1966" spans="1:9" s="135" customFormat="1" ht="20.25" customHeight="1">
      <c r="A1966" s="273"/>
      <c r="B1966" s="273"/>
      <c r="C1966" s="273"/>
      <c r="D1966" s="273"/>
      <c r="E1966" s="273"/>
      <c r="F1966" s="273"/>
      <c r="G1966" s="273"/>
      <c r="H1966" s="273"/>
      <c r="I1966" s="273"/>
    </row>
    <row r="1967" spans="1:9" s="135" customFormat="1" ht="20.25" customHeight="1">
      <c r="A1967" s="273"/>
      <c r="B1967" s="273"/>
      <c r="C1967" s="273"/>
      <c r="D1967" s="273"/>
      <c r="E1967" s="273"/>
      <c r="F1967" s="273"/>
      <c r="G1967" s="273"/>
      <c r="H1967" s="273"/>
      <c r="I1967" s="273"/>
    </row>
    <row r="1968" spans="1:9" s="135" customFormat="1" ht="20.25" customHeight="1">
      <c r="A1968" s="273"/>
      <c r="B1968" s="273"/>
      <c r="C1968" s="273"/>
      <c r="D1968" s="273"/>
      <c r="E1968" s="273"/>
      <c r="F1968" s="273"/>
      <c r="G1968" s="273"/>
      <c r="H1968" s="273"/>
      <c r="I1968" s="273"/>
    </row>
    <row r="1969" spans="1:9" s="135" customFormat="1" ht="20.25" customHeight="1">
      <c r="A1969" s="273"/>
      <c r="B1969" s="273"/>
      <c r="C1969" s="273"/>
      <c r="D1969" s="273"/>
      <c r="E1969" s="273"/>
      <c r="F1969" s="273"/>
      <c r="G1969" s="273"/>
      <c r="H1969" s="273"/>
      <c r="I1969" s="273"/>
    </row>
    <row r="1970" spans="1:9" s="135" customFormat="1" ht="20.25" customHeight="1">
      <c r="A1970" s="273"/>
      <c r="B1970" s="273"/>
      <c r="C1970" s="273"/>
      <c r="D1970" s="273"/>
      <c r="E1970" s="273"/>
      <c r="F1970" s="273"/>
      <c r="G1970" s="273"/>
      <c r="H1970" s="273"/>
      <c r="I1970" s="273"/>
    </row>
    <row r="1971" spans="1:9" s="135" customFormat="1" ht="20.25" customHeight="1">
      <c r="A1971" s="273"/>
      <c r="B1971" s="273"/>
      <c r="C1971" s="273"/>
      <c r="D1971" s="273"/>
      <c r="E1971" s="273"/>
      <c r="F1971" s="273"/>
      <c r="G1971" s="273"/>
      <c r="H1971" s="273"/>
      <c r="I1971" s="273"/>
    </row>
    <row r="1972" spans="1:9" s="135" customFormat="1" ht="20.25" customHeight="1">
      <c r="A1972" s="273"/>
      <c r="B1972" s="273"/>
      <c r="C1972" s="273"/>
      <c r="D1972" s="273"/>
      <c r="E1972" s="273"/>
      <c r="F1972" s="273"/>
      <c r="G1972" s="273"/>
      <c r="H1972" s="273"/>
      <c r="I1972" s="273"/>
    </row>
    <row r="1973" spans="1:9" s="135" customFormat="1" ht="20.25" customHeight="1">
      <c r="A1973" s="273"/>
      <c r="B1973" s="273"/>
      <c r="C1973" s="273"/>
      <c r="D1973" s="273"/>
      <c r="E1973" s="273"/>
      <c r="F1973" s="273"/>
      <c r="G1973" s="273"/>
      <c r="H1973" s="273"/>
      <c r="I1973" s="273"/>
    </row>
    <row r="1974" spans="1:9" s="135" customFormat="1" ht="20.25" customHeight="1">
      <c r="A1974" s="273"/>
      <c r="B1974" s="273"/>
      <c r="C1974" s="273"/>
      <c r="D1974" s="273"/>
      <c r="E1974" s="273"/>
      <c r="F1974" s="273"/>
      <c r="G1974" s="273"/>
      <c r="H1974" s="273"/>
      <c r="I1974" s="273"/>
    </row>
    <row r="1975" spans="1:9" s="135" customFormat="1" ht="20.25" customHeight="1">
      <c r="A1975" s="273"/>
      <c r="B1975" s="273"/>
      <c r="C1975" s="273"/>
      <c r="D1975" s="273"/>
      <c r="E1975" s="273"/>
      <c r="F1975" s="273"/>
      <c r="G1975" s="273"/>
      <c r="H1975" s="273"/>
      <c r="I1975" s="273"/>
    </row>
    <row r="1976" spans="1:9" s="135" customFormat="1" ht="20.25" customHeight="1">
      <c r="A1976" s="273"/>
      <c r="B1976" s="273"/>
      <c r="C1976" s="273"/>
      <c r="D1976" s="273"/>
      <c r="E1976" s="273"/>
      <c r="F1976" s="273"/>
      <c r="G1976" s="273"/>
      <c r="H1976" s="273"/>
      <c r="I1976" s="273"/>
    </row>
    <row r="1977" spans="1:9" s="135" customFormat="1" ht="20.25" customHeight="1">
      <c r="A1977" s="273"/>
      <c r="B1977" s="273"/>
      <c r="C1977" s="273"/>
      <c r="D1977" s="273"/>
      <c r="E1977" s="273"/>
      <c r="F1977" s="273"/>
      <c r="G1977" s="273"/>
      <c r="H1977" s="273"/>
      <c r="I1977" s="273"/>
    </row>
    <row r="1978" spans="1:9" s="135" customFormat="1" ht="20.25" customHeight="1">
      <c r="A1978" s="273"/>
      <c r="B1978" s="273"/>
      <c r="C1978" s="273"/>
      <c r="D1978" s="273"/>
      <c r="E1978" s="273"/>
      <c r="F1978" s="273"/>
      <c r="G1978" s="273"/>
      <c r="H1978" s="273"/>
      <c r="I1978" s="273"/>
    </row>
    <row r="1979" spans="1:9" s="135" customFormat="1" ht="20.25" customHeight="1">
      <c r="A1979" s="273"/>
      <c r="B1979" s="273"/>
      <c r="C1979" s="273"/>
      <c r="D1979" s="273"/>
      <c r="E1979" s="273"/>
      <c r="F1979" s="273"/>
      <c r="G1979" s="273"/>
      <c r="H1979" s="273"/>
      <c r="I1979" s="273"/>
    </row>
    <row r="1980" spans="1:9" s="135" customFormat="1" ht="20.25" customHeight="1">
      <c r="A1980" s="273"/>
      <c r="B1980" s="273"/>
      <c r="C1980" s="273"/>
      <c r="D1980" s="273"/>
      <c r="E1980" s="273"/>
      <c r="F1980" s="273"/>
      <c r="G1980" s="273"/>
      <c r="H1980" s="273"/>
      <c r="I1980" s="273"/>
    </row>
    <row r="1981" spans="1:9" s="135" customFormat="1" ht="20.25" customHeight="1">
      <c r="A1981" s="273"/>
      <c r="B1981" s="273"/>
      <c r="C1981" s="273"/>
      <c r="D1981" s="273"/>
      <c r="E1981" s="273"/>
      <c r="F1981" s="273"/>
      <c r="G1981" s="273"/>
      <c r="H1981" s="273"/>
      <c r="I1981" s="273"/>
    </row>
    <row r="1982" spans="1:9" s="135" customFormat="1" ht="20.25" customHeight="1">
      <c r="A1982" s="273"/>
      <c r="B1982" s="273"/>
      <c r="C1982" s="273"/>
      <c r="D1982" s="273"/>
      <c r="E1982" s="273"/>
      <c r="F1982" s="273"/>
      <c r="G1982" s="273"/>
      <c r="H1982" s="273"/>
      <c r="I1982" s="430"/>
    </row>
    <row r="1983" spans="1:9" s="135" customFormat="1" ht="20.25" customHeight="1">
      <c r="A1983" s="273"/>
      <c r="B1983" s="273"/>
      <c r="C1983" s="273"/>
      <c r="D1983" s="273"/>
      <c r="E1983" s="273"/>
      <c r="F1983" s="273"/>
      <c r="G1983" s="273"/>
      <c r="H1983" s="273"/>
      <c r="I1983" s="430">
        <v>30</v>
      </c>
    </row>
    <row r="1984" spans="1:9" s="135" customFormat="1" ht="20.25" customHeight="1">
      <c r="A1984" s="273"/>
      <c r="B1984" s="273"/>
      <c r="C1984" s="273"/>
      <c r="D1984" s="273"/>
      <c r="E1984" s="273"/>
      <c r="F1984" s="273"/>
      <c r="G1984" s="273"/>
      <c r="H1984" s="273"/>
      <c r="I1984" s="430"/>
    </row>
    <row r="1985" spans="1:9" s="135" customFormat="1" ht="20.25" customHeight="1">
      <c r="A1985" s="273"/>
      <c r="E1985" s="273"/>
      <c r="F1985" s="273"/>
      <c r="G1985" s="273"/>
      <c r="H1985" s="273"/>
      <c r="I1985" s="209"/>
    </row>
    <row r="1986" spans="1:9" s="135" customFormat="1" ht="20.25" customHeight="1">
      <c r="A1986" s="273"/>
      <c r="E1986" s="273"/>
      <c r="F1986" s="273"/>
      <c r="G1986" s="273"/>
      <c r="H1986" s="273"/>
      <c r="I1986" s="209"/>
    </row>
    <row r="1987" spans="1:9" s="135" customFormat="1" ht="30" customHeight="1">
      <c r="A1987" s="278"/>
      <c r="B1987" s="608" t="s">
        <v>22</v>
      </c>
      <c r="C1987" s="608"/>
      <c r="D1987" s="608"/>
      <c r="E1987" s="608"/>
      <c r="F1987" s="608"/>
      <c r="G1987" s="608"/>
      <c r="I1987" s="272"/>
    </row>
    <row r="1988" spans="1:9" s="135" customFormat="1" ht="20.25" customHeight="1">
      <c r="A1988" s="278"/>
      <c r="B1988" s="278"/>
      <c r="C1988" s="278"/>
      <c r="D1988" s="278"/>
      <c r="E1988" s="278"/>
      <c r="F1988" s="278"/>
      <c r="G1988" s="278"/>
      <c r="I1988" s="272"/>
    </row>
    <row r="1989" spans="1:9" s="135" customFormat="1" ht="20.25" customHeight="1">
      <c r="A1989" s="278"/>
      <c r="C1989" s="278"/>
      <c r="D1989" s="278"/>
      <c r="E1989" s="278"/>
      <c r="F1989" s="278"/>
      <c r="G1989" s="278"/>
      <c r="I1989" s="272"/>
    </row>
    <row r="1990" spans="1:9" s="135" customFormat="1" ht="20.25" customHeight="1">
      <c r="A1990" s="278"/>
      <c r="B1990" s="278"/>
      <c r="C1990" s="278"/>
      <c r="D1990" s="278"/>
      <c r="E1990" s="278"/>
      <c r="F1990" s="278"/>
      <c r="G1990" s="278"/>
      <c r="I1990" s="272"/>
    </row>
    <row r="1991" spans="1:9" s="135" customFormat="1" ht="20.25" customHeight="1">
      <c r="A1991" s="609" t="s">
        <v>972</v>
      </c>
      <c r="B1991" s="609"/>
      <c r="C1991" s="609"/>
      <c r="D1991" s="609"/>
      <c r="E1991" s="609"/>
      <c r="F1991" s="609"/>
      <c r="G1991" s="609"/>
      <c r="H1991" s="609"/>
      <c r="I1991" s="609"/>
    </row>
    <row r="1992" spans="1:9" s="135" customFormat="1" ht="20.25" customHeight="1">
      <c r="A1992" s="518" t="s">
        <v>971</v>
      </c>
      <c r="B1992" s="518"/>
      <c r="C1992" s="518"/>
      <c r="D1992" s="518"/>
      <c r="E1992" s="518"/>
      <c r="F1992" s="518"/>
      <c r="G1992" s="518"/>
      <c r="H1992" s="518"/>
      <c r="I1992" s="518"/>
    </row>
    <row r="1993" spans="1:9" s="135" customFormat="1" ht="20.25" customHeight="1">
      <c r="A1993" s="518" t="s">
        <v>793</v>
      </c>
      <c r="B1993" s="518"/>
      <c r="C1993" s="518"/>
      <c r="D1993" s="518"/>
      <c r="E1993" s="518"/>
      <c r="F1993" s="518"/>
      <c r="G1993" s="518"/>
      <c r="H1993" s="518"/>
      <c r="I1993" s="518"/>
    </row>
    <row r="1994" spans="1:9" s="135" customFormat="1" ht="20.25" customHeight="1">
      <c r="A1994" s="518" t="s">
        <v>28</v>
      </c>
      <c r="B1994" s="518"/>
      <c r="C1994" s="518"/>
      <c r="D1994" s="518"/>
      <c r="E1994" s="518"/>
      <c r="F1994" s="518"/>
      <c r="G1994" s="518"/>
      <c r="H1994" s="518"/>
      <c r="I1994" s="518"/>
    </row>
    <row r="1995" spans="1:9" s="135" customFormat="1" ht="20.25" customHeight="1">
      <c r="A1995" s="191"/>
      <c r="B1995" s="518" t="s">
        <v>1073</v>
      </c>
      <c r="C1995" s="518"/>
      <c r="D1995" s="518"/>
      <c r="E1995" s="518"/>
      <c r="F1995" s="518"/>
      <c r="G1995" s="518"/>
      <c r="H1995" s="518"/>
      <c r="I1995" s="518"/>
    </row>
    <row r="1996" spans="1:9" s="135" customFormat="1" ht="20.25" customHeight="1">
      <c r="A1996" s="191"/>
      <c r="B1996" s="191"/>
      <c r="C1996" s="191"/>
      <c r="D1996" s="191"/>
      <c r="E1996" s="191"/>
      <c r="F1996" s="191"/>
      <c r="G1996" s="191"/>
      <c r="H1996" s="191"/>
      <c r="I1996" s="191"/>
    </row>
    <row r="1997" spans="1:8" s="135" customFormat="1" ht="20.25" customHeight="1">
      <c r="A1997" s="40"/>
      <c r="B1997" s="39"/>
      <c r="C1997"/>
      <c r="D1997" s="487" t="s">
        <v>682</v>
      </c>
      <c r="E1997" s="487"/>
      <c r="F1997" s="487"/>
      <c r="G1997" s="40"/>
      <c r="H1997" s="40"/>
    </row>
    <row r="1998" spans="1:8" s="135" customFormat="1" ht="20.25" customHeight="1">
      <c r="A1998" s="40"/>
      <c r="B1998" s="40"/>
      <c r="C1998" s="40"/>
      <c r="D1998" s="40"/>
      <c r="E1998" s="40"/>
      <c r="F1998" s="40"/>
      <c r="G1998" s="40"/>
      <c r="H1998" s="40"/>
    </row>
    <row r="1999" spans="1:9" s="135" customFormat="1" ht="20.25" customHeight="1">
      <c r="A1999" s="612" t="s">
        <v>683</v>
      </c>
      <c r="B1999" s="491" t="s">
        <v>688</v>
      </c>
      <c r="C1999" s="492"/>
      <c r="D1999" s="5" t="s">
        <v>686</v>
      </c>
      <c r="E1999" s="5" t="s">
        <v>712</v>
      </c>
      <c r="F1999" s="5" t="s">
        <v>686</v>
      </c>
      <c r="G1999" s="510" t="s">
        <v>713</v>
      </c>
      <c r="H1999" s="511"/>
      <c r="I1999" s="6" t="s">
        <v>714</v>
      </c>
    </row>
    <row r="2000" spans="1:9" s="135" customFormat="1" ht="20.25" customHeight="1">
      <c r="A2000" s="613"/>
      <c r="B2000" s="493"/>
      <c r="C2000" s="494"/>
      <c r="D2000" s="7" t="s">
        <v>656</v>
      </c>
      <c r="E2000" s="7" t="s">
        <v>715</v>
      </c>
      <c r="F2000" s="7" t="s">
        <v>657</v>
      </c>
      <c r="G2000" s="8" t="s">
        <v>706</v>
      </c>
      <c r="H2000" s="9" t="s">
        <v>707</v>
      </c>
      <c r="I2000" s="10" t="s">
        <v>717</v>
      </c>
    </row>
    <row r="2001" spans="1:9" s="135" customFormat="1" ht="20.25" customHeight="1">
      <c r="A2001" s="13">
        <v>1</v>
      </c>
      <c r="B2001" s="295">
        <v>2</v>
      </c>
      <c r="C2001" s="296"/>
      <c r="D2001" s="12">
        <v>3</v>
      </c>
      <c r="E2001" s="12">
        <v>4</v>
      </c>
      <c r="F2001" s="12">
        <v>5</v>
      </c>
      <c r="G2001" s="12">
        <v>6</v>
      </c>
      <c r="H2001" s="12">
        <v>7</v>
      </c>
      <c r="I2001" s="13">
        <v>8</v>
      </c>
    </row>
    <row r="2002" spans="1:9" s="135" customFormat="1" ht="20.25" customHeight="1">
      <c r="A2002" s="188">
        <v>50011</v>
      </c>
      <c r="B2002" s="610" t="s">
        <v>23</v>
      </c>
      <c r="C2002" s="611"/>
      <c r="D2002" s="151">
        <v>31290</v>
      </c>
      <c r="E2002" s="290">
        <v>60000</v>
      </c>
      <c r="F2002" s="14">
        <v>26943</v>
      </c>
      <c r="G2002" s="15">
        <f>F2002/D2002</f>
        <v>0.8610738255033556</v>
      </c>
      <c r="H2002" s="16">
        <f>F2002/E2002</f>
        <v>0.44905</v>
      </c>
      <c r="I2002" s="16">
        <f>F2002/F2006</f>
        <v>0.34061408637663754</v>
      </c>
    </row>
    <row r="2003" spans="1:9" s="135" customFormat="1" ht="20.25" customHeight="1">
      <c r="A2003" s="304">
        <v>50019</v>
      </c>
      <c r="B2003" s="610" t="s">
        <v>909</v>
      </c>
      <c r="C2003" s="611"/>
      <c r="D2003" s="151">
        <v>8150</v>
      </c>
      <c r="E2003" s="290">
        <v>20000</v>
      </c>
      <c r="F2003" s="14">
        <v>13209</v>
      </c>
      <c r="G2003" s="15">
        <f>F2003/D2003</f>
        <v>1.6207361963190183</v>
      </c>
      <c r="H2003" s="16">
        <f>F2003/E2003</f>
        <v>0.66045</v>
      </c>
      <c r="I2003" s="16">
        <f>F2003/F2006</f>
        <v>0.16698851155955183</v>
      </c>
    </row>
    <row r="2004" spans="1:9" s="135" customFormat="1" ht="20.25" customHeight="1">
      <c r="A2004" s="4">
        <v>50223</v>
      </c>
      <c r="B2004" s="610" t="s">
        <v>24</v>
      </c>
      <c r="C2004" s="611"/>
      <c r="D2004" s="151">
        <v>26600</v>
      </c>
      <c r="E2004" s="290">
        <v>35000</v>
      </c>
      <c r="F2004" s="14">
        <v>19440</v>
      </c>
      <c r="G2004" s="15">
        <f>F2004/D2004</f>
        <v>0.7308270676691729</v>
      </c>
      <c r="H2004" s="16">
        <f>F2004/E2004</f>
        <v>0.5554285714285714</v>
      </c>
      <c r="I2004" s="16">
        <f>F2004/F2006</f>
        <v>0.2457609709075394</v>
      </c>
    </row>
    <row r="2005" spans="1:9" s="135" customFormat="1" ht="20.25" customHeight="1">
      <c r="A2005" s="304">
        <v>50504</v>
      </c>
      <c r="B2005" s="610" t="s">
        <v>898</v>
      </c>
      <c r="C2005" s="611"/>
      <c r="D2005" s="151">
        <v>19036</v>
      </c>
      <c r="E2005" s="290">
        <v>60000</v>
      </c>
      <c r="F2005" s="14">
        <v>19509.25</v>
      </c>
      <c r="G2005" s="15">
        <f>F2005/D2005</f>
        <v>1.02486079008195</v>
      </c>
      <c r="H2005" s="16">
        <f>F2005/E2005</f>
        <v>0.3251541666666667</v>
      </c>
      <c r="I2005" s="16">
        <f>F2005/F2006</f>
        <v>0.24663643115627124</v>
      </c>
    </row>
    <row r="2006" spans="1:9" s="135" customFormat="1" ht="30" customHeight="1">
      <c r="A2006" s="17"/>
      <c r="B2006" s="548" t="s">
        <v>919</v>
      </c>
      <c r="C2006" s="549"/>
      <c r="D2006" s="279">
        <f>D2002+D2003+D2004+D2005</f>
        <v>85076</v>
      </c>
      <c r="E2006" s="279">
        <f>E2002+E2003+E2004+E2005</f>
        <v>175000</v>
      </c>
      <c r="F2006" s="279">
        <f>F2002+F2003+F2004+F2005</f>
        <v>79101.25</v>
      </c>
      <c r="G2006" s="212">
        <f>F2006/D2006</f>
        <v>0.9297716159669002</v>
      </c>
      <c r="H2006" s="213">
        <f>F2006/E2006</f>
        <v>0.45200714285714283</v>
      </c>
      <c r="I2006" s="213">
        <f>SUM(I2002:I2005)</f>
        <v>1</v>
      </c>
    </row>
    <row r="2007" spans="1:9" s="135" customFormat="1" ht="20.25" customHeight="1">
      <c r="A2007" s="282"/>
      <c r="B2007" s="283"/>
      <c r="C2007" s="283"/>
      <c r="D2007" s="284"/>
      <c r="E2007" s="285"/>
      <c r="F2007" s="285"/>
      <c r="G2007" s="286"/>
      <c r="H2007" s="287"/>
      <c r="I2007" s="287"/>
    </row>
    <row r="2008" spans="1:9" s="135" customFormat="1" ht="20.25" customHeight="1">
      <c r="A2008" s="599" t="s">
        <v>31</v>
      </c>
      <c r="B2008" s="599"/>
      <c r="C2008" s="599"/>
      <c r="D2008" s="599"/>
      <c r="E2008" s="599"/>
      <c r="F2008" s="599"/>
      <c r="G2008" s="599"/>
      <c r="H2008" s="599"/>
      <c r="I2008" s="599"/>
    </row>
    <row r="2009" spans="1:9" s="135" customFormat="1" ht="20.25" customHeight="1">
      <c r="A2009" s="599" t="s">
        <v>29</v>
      </c>
      <c r="B2009" s="599"/>
      <c r="C2009" s="599"/>
      <c r="D2009" s="599"/>
      <c r="E2009" s="599"/>
      <c r="F2009" s="599"/>
      <c r="G2009" s="599"/>
      <c r="H2009" s="599"/>
      <c r="I2009" s="599"/>
    </row>
    <row r="2010" spans="1:9" s="135" customFormat="1" ht="20.25" customHeight="1">
      <c r="A2010" s="599" t="s">
        <v>30</v>
      </c>
      <c r="B2010" s="599"/>
      <c r="C2010" s="599"/>
      <c r="D2010" s="599"/>
      <c r="E2010" s="599"/>
      <c r="F2010" s="599"/>
      <c r="G2010" s="599"/>
      <c r="H2010" s="599"/>
      <c r="I2010" s="599"/>
    </row>
    <row r="2011" spans="1:9" s="135" customFormat="1" ht="20.25" customHeight="1">
      <c r="A2011" s="599" t="s">
        <v>32</v>
      </c>
      <c r="B2011" s="599"/>
      <c r="C2011" s="599"/>
      <c r="D2011" s="599"/>
      <c r="E2011" s="599"/>
      <c r="F2011" s="599"/>
      <c r="G2011" s="599"/>
      <c r="H2011" s="599"/>
      <c r="I2011" s="599"/>
    </row>
    <row r="2012" spans="1:9" s="135" customFormat="1" ht="20.25" customHeight="1">
      <c r="A2012" s="599" t="s">
        <v>33</v>
      </c>
      <c r="B2012" s="599"/>
      <c r="C2012" s="599"/>
      <c r="D2012" s="599"/>
      <c r="E2012" s="599"/>
      <c r="F2012" s="599"/>
      <c r="G2012" s="599"/>
      <c r="H2012" s="599"/>
      <c r="I2012" s="599"/>
    </row>
    <row r="2013" spans="1:9" s="135" customFormat="1" ht="20.25" customHeight="1">
      <c r="A2013" s="599" t="s">
        <v>34</v>
      </c>
      <c r="B2013" s="599"/>
      <c r="C2013" s="599"/>
      <c r="D2013" s="599"/>
      <c r="E2013" s="599"/>
      <c r="F2013" s="599"/>
      <c r="G2013" s="599"/>
      <c r="H2013" s="599"/>
      <c r="I2013" s="599"/>
    </row>
    <row r="2014" spans="1:9" s="135" customFormat="1" ht="20.25" customHeight="1">
      <c r="A2014" s="599" t="s">
        <v>35</v>
      </c>
      <c r="B2014" s="599"/>
      <c r="C2014" s="599"/>
      <c r="D2014" s="599"/>
      <c r="E2014" s="599"/>
      <c r="F2014" s="599"/>
      <c r="G2014" s="599"/>
      <c r="H2014" s="599"/>
      <c r="I2014" s="599"/>
    </row>
    <row r="2015" spans="1:9" s="135" customFormat="1" ht="20.25" customHeight="1">
      <c r="A2015" s="292"/>
      <c r="B2015" s="599" t="s">
        <v>36</v>
      </c>
      <c r="C2015" s="599"/>
      <c r="D2015" s="599"/>
      <c r="E2015" s="599"/>
      <c r="F2015" s="599"/>
      <c r="G2015" s="599"/>
      <c r="H2015" s="599"/>
      <c r="I2015" s="599"/>
    </row>
    <row r="2016" spans="1:9" s="135" customFormat="1" ht="20.25" customHeight="1">
      <c r="A2016" s="599" t="s">
        <v>37</v>
      </c>
      <c r="B2016" s="599"/>
      <c r="C2016" s="599"/>
      <c r="D2016" s="599"/>
      <c r="E2016" s="599"/>
      <c r="F2016" s="599"/>
      <c r="G2016" s="599"/>
      <c r="H2016" s="599"/>
      <c r="I2016" s="599"/>
    </row>
    <row r="2017" spans="1:9" s="135" customFormat="1" ht="20.25" customHeight="1">
      <c r="A2017" s="599" t="s">
        <v>855</v>
      </c>
      <c r="B2017" s="599"/>
      <c r="C2017" s="599"/>
      <c r="D2017" s="599"/>
      <c r="E2017" s="599"/>
      <c r="F2017" s="599"/>
      <c r="G2017" s="599"/>
      <c r="H2017" s="599"/>
      <c r="I2017" s="599"/>
    </row>
    <row r="2018" spans="1:6" s="135" customFormat="1" ht="20.25" customHeight="1">
      <c r="A2018" s="282"/>
      <c r="F2018"/>
    </row>
    <row r="2019" spans="1:8" s="135" customFormat="1" ht="20.25" customHeight="1">
      <c r="A2019" s="40"/>
      <c r="B2019" s="40"/>
      <c r="C2019"/>
      <c r="D2019" s="607" t="s">
        <v>682</v>
      </c>
      <c r="E2019" s="607"/>
      <c r="F2019" s="607"/>
      <c r="G2019" s="40"/>
      <c r="H2019" s="40"/>
    </row>
    <row r="2020" spans="1:8" s="135" customFormat="1" ht="20.25" customHeight="1">
      <c r="A2020" s="40"/>
      <c r="B2020" s="40"/>
      <c r="C2020" s="40"/>
      <c r="D2020" s="40"/>
      <c r="E2020" s="40"/>
      <c r="F2020" s="40"/>
      <c r="G2020" s="40"/>
      <c r="H2020" s="40"/>
    </row>
    <row r="2021" spans="1:9" s="135" customFormat="1" ht="20.25" customHeight="1">
      <c r="A2021" s="22" t="s">
        <v>683</v>
      </c>
      <c r="B2021" s="491" t="s">
        <v>688</v>
      </c>
      <c r="C2021" s="492"/>
      <c r="D2021" s="5" t="s">
        <v>686</v>
      </c>
      <c r="E2021" s="5" t="s">
        <v>712</v>
      </c>
      <c r="F2021" s="5" t="s">
        <v>686</v>
      </c>
      <c r="G2021" s="510" t="s">
        <v>713</v>
      </c>
      <c r="H2021" s="511"/>
      <c r="I2021" s="6" t="s">
        <v>714</v>
      </c>
    </row>
    <row r="2022" spans="1:9" s="135" customFormat="1" ht="20.25" customHeight="1">
      <c r="A2022" s="23" t="s">
        <v>97</v>
      </c>
      <c r="B2022" s="493"/>
      <c r="C2022" s="494"/>
      <c r="D2022" s="7" t="s">
        <v>656</v>
      </c>
      <c r="E2022" s="7" t="s">
        <v>715</v>
      </c>
      <c r="F2022" s="7" t="s">
        <v>657</v>
      </c>
      <c r="G2022" s="8" t="s">
        <v>706</v>
      </c>
      <c r="H2022" s="9" t="s">
        <v>707</v>
      </c>
      <c r="I2022" s="10" t="s">
        <v>717</v>
      </c>
    </row>
    <row r="2023" spans="1:9" s="135" customFormat="1" ht="20.25" customHeight="1">
      <c r="A2023" s="13">
        <v>1</v>
      </c>
      <c r="B2023" s="535">
        <v>2</v>
      </c>
      <c r="C2023" s="536"/>
      <c r="D2023" s="12">
        <v>3</v>
      </c>
      <c r="E2023" s="12">
        <v>4</v>
      </c>
      <c r="F2023" s="12">
        <v>5</v>
      </c>
      <c r="G2023" s="12">
        <v>6</v>
      </c>
      <c r="H2023" s="12">
        <v>7</v>
      </c>
      <c r="I2023" s="13">
        <v>8</v>
      </c>
    </row>
    <row r="2024" spans="1:9" s="135" customFormat="1" ht="20.25" customHeight="1">
      <c r="A2024" s="4">
        <v>111</v>
      </c>
      <c r="B2024" s="504" t="s">
        <v>540</v>
      </c>
      <c r="C2024" s="505"/>
      <c r="D2024" s="25">
        <v>26562.78</v>
      </c>
      <c r="E2024" s="25">
        <v>78289</v>
      </c>
      <c r="F2024" s="25">
        <v>29772.8</v>
      </c>
      <c r="G2024" s="15">
        <f aca="true" t="shared" si="90" ref="G2024:G2029">F2024/D2024</f>
        <v>1.120846537900024</v>
      </c>
      <c r="H2024" s="16">
        <f aca="true" t="shared" si="91" ref="H2024:H2029">F2024/E2024</f>
        <v>0.3802935278263868</v>
      </c>
      <c r="I2024" s="16">
        <f>F2024/F2029</f>
        <v>0.6497138647290707</v>
      </c>
    </row>
    <row r="2025" spans="1:9" s="135" customFormat="1" ht="20.25" customHeight="1">
      <c r="A2025" s="4">
        <v>130</v>
      </c>
      <c r="B2025" s="504" t="s">
        <v>541</v>
      </c>
      <c r="C2025" s="505"/>
      <c r="D2025" s="234">
        <v>8992.69</v>
      </c>
      <c r="E2025" s="14">
        <v>13900</v>
      </c>
      <c r="F2025" s="14">
        <v>16051.68</v>
      </c>
      <c r="G2025" s="15">
        <f t="shared" si="90"/>
        <v>1.7849697921311642</v>
      </c>
      <c r="H2025" s="16">
        <f t="shared" si="91"/>
        <v>1.1547971223021583</v>
      </c>
      <c r="I2025" s="16">
        <f>F2025/F2029</f>
        <v>0.35028613527092944</v>
      </c>
    </row>
    <row r="2026" spans="1:9" s="135" customFormat="1" ht="20.25" customHeight="1">
      <c r="A2026" s="4">
        <v>132</v>
      </c>
      <c r="B2026" s="504" t="s">
        <v>542</v>
      </c>
      <c r="C2026" s="505"/>
      <c r="D2026" s="238">
        <v>0</v>
      </c>
      <c r="E2026" s="25">
        <v>0</v>
      </c>
      <c r="F2026" s="25">
        <v>0</v>
      </c>
      <c r="G2026" s="15" t="e">
        <f t="shared" si="90"/>
        <v>#DIV/0!</v>
      </c>
      <c r="H2026" s="16" t="e">
        <f t="shared" si="91"/>
        <v>#DIV/0!</v>
      </c>
      <c r="I2026" s="16">
        <f>F2026/F2029</f>
        <v>0</v>
      </c>
    </row>
    <row r="2027" spans="1:9" s="135" customFormat="1" ht="20.25" customHeight="1">
      <c r="A2027" s="4">
        <v>200</v>
      </c>
      <c r="B2027" s="504" t="s">
        <v>543</v>
      </c>
      <c r="C2027" s="505"/>
      <c r="D2027" s="54">
        <v>0</v>
      </c>
      <c r="E2027" s="25">
        <v>0</v>
      </c>
      <c r="F2027" s="25">
        <v>0</v>
      </c>
      <c r="G2027" s="15" t="e">
        <f t="shared" si="90"/>
        <v>#DIV/0!</v>
      </c>
      <c r="H2027" s="16" t="e">
        <f t="shared" si="91"/>
        <v>#DIV/0!</v>
      </c>
      <c r="I2027" s="16">
        <f>F2027/F2029</f>
        <v>0</v>
      </c>
    </row>
    <row r="2028" spans="1:9" s="135" customFormat="1" ht="20.25" customHeight="1">
      <c r="A2028" s="4">
        <v>300</v>
      </c>
      <c r="B2028" s="504" t="s">
        <v>544</v>
      </c>
      <c r="C2028" s="505"/>
      <c r="D2028" s="25">
        <v>15030</v>
      </c>
      <c r="E2028" s="25">
        <v>69000</v>
      </c>
      <c r="F2028" s="25">
        <v>0</v>
      </c>
      <c r="G2028" s="15">
        <f t="shared" si="90"/>
        <v>0</v>
      </c>
      <c r="H2028" s="16">
        <f t="shared" si="91"/>
        <v>0</v>
      </c>
      <c r="I2028" s="16">
        <f>F2028/F2029</f>
        <v>0</v>
      </c>
    </row>
    <row r="2029" spans="1:9" s="135" customFormat="1" ht="30" customHeight="1">
      <c r="A2029" s="17"/>
      <c r="B2029" s="548" t="s">
        <v>95</v>
      </c>
      <c r="C2029" s="549"/>
      <c r="D2029" s="288">
        <f>D2024+D2025+D2026+D2027+D2028</f>
        <v>50585.47</v>
      </c>
      <c r="E2029" s="211">
        <f>E2024+E2025+E2026+E2027+E2028</f>
        <v>161189</v>
      </c>
      <c r="F2029" s="211">
        <f>F2024+F2025+F2026+F2027+F2028</f>
        <v>45824.479999999996</v>
      </c>
      <c r="G2029" s="265">
        <f t="shared" si="90"/>
        <v>0.9058822622385438</v>
      </c>
      <c r="H2029" s="266">
        <f t="shared" si="91"/>
        <v>0.28429036720868045</v>
      </c>
      <c r="I2029" s="266">
        <f>SUM(I2024:I2028)</f>
        <v>1</v>
      </c>
    </row>
    <row r="2030" spans="1:8" s="135" customFormat="1" ht="20.25" customHeight="1">
      <c r="A2030" s="49"/>
      <c r="B2030" s="49"/>
      <c r="C2030" s="49"/>
      <c r="D2030" s="49"/>
      <c r="E2030" s="208"/>
      <c r="F2030" s="49"/>
      <c r="G2030" s="49"/>
      <c r="H2030" s="40"/>
    </row>
    <row r="2031" spans="1:9" s="135" customFormat="1" ht="20.25" customHeight="1">
      <c r="A2031" s="299"/>
      <c r="B2031" s="600" t="s">
        <v>626</v>
      </c>
      <c r="C2031" s="600"/>
      <c r="D2031" s="600"/>
      <c r="E2031" s="600"/>
      <c r="F2031" s="600"/>
      <c r="G2031" s="600"/>
      <c r="H2031" s="600"/>
      <c r="I2031" s="600"/>
    </row>
    <row r="2032" spans="1:9" s="135" customFormat="1" ht="20.25" customHeight="1">
      <c r="A2032" s="600" t="s">
        <v>625</v>
      </c>
      <c r="B2032" s="600"/>
      <c r="C2032" s="600"/>
      <c r="D2032" s="600"/>
      <c r="E2032" s="600"/>
      <c r="F2032" s="600"/>
      <c r="G2032" s="600"/>
      <c r="H2032" s="600"/>
      <c r="I2032" s="600"/>
    </row>
    <row r="2033" spans="1:9" s="135" customFormat="1" ht="20.25" customHeight="1">
      <c r="A2033" s="600" t="s">
        <v>38</v>
      </c>
      <c r="B2033" s="600"/>
      <c r="C2033" s="600"/>
      <c r="D2033" s="600"/>
      <c r="E2033" s="600"/>
      <c r="F2033" s="600"/>
      <c r="G2033" s="600"/>
      <c r="H2033" s="600"/>
      <c r="I2033" s="600"/>
    </row>
    <row r="2034" spans="1:9" s="135" customFormat="1" ht="20.25" customHeight="1">
      <c r="A2034" s="503" t="s">
        <v>39</v>
      </c>
      <c r="B2034" s="503"/>
      <c r="C2034" s="503"/>
      <c r="D2034" s="503"/>
      <c r="E2034" s="503"/>
      <c r="F2034" s="503"/>
      <c r="G2034" s="503"/>
      <c r="H2034" s="503"/>
      <c r="I2034" s="503"/>
    </row>
    <row r="2035" spans="1:9" s="135" customFormat="1" ht="20.25" customHeight="1">
      <c r="A2035" s="486" t="s">
        <v>40</v>
      </c>
      <c r="B2035" s="486"/>
      <c r="C2035" s="486"/>
      <c r="D2035" s="486"/>
      <c r="E2035" s="486"/>
      <c r="F2035" s="486"/>
      <c r="G2035" s="486"/>
      <c r="H2035" s="486"/>
      <c r="I2035" s="486"/>
    </row>
    <row r="2036" spans="1:9" s="135" customFormat="1" ht="20.25" customHeight="1">
      <c r="A2036" s="486" t="s">
        <v>41</v>
      </c>
      <c r="B2036" s="486"/>
      <c r="C2036" s="486"/>
      <c r="D2036" s="486"/>
      <c r="E2036" s="486"/>
      <c r="F2036" s="486"/>
      <c r="G2036" s="486"/>
      <c r="H2036" s="486"/>
      <c r="I2036" s="486"/>
    </row>
    <row r="2037" spans="1:9" s="135" customFormat="1" ht="20.25" customHeight="1">
      <c r="A2037" s="486" t="s">
        <v>42</v>
      </c>
      <c r="B2037" s="486"/>
      <c r="C2037" s="486"/>
      <c r="D2037" s="486"/>
      <c r="E2037" s="486"/>
      <c r="F2037" s="486"/>
      <c r="G2037" s="486"/>
      <c r="H2037" s="486"/>
      <c r="I2037" s="486"/>
    </row>
    <row r="2038" spans="1:9" s="135" customFormat="1" ht="20.25" customHeight="1">
      <c r="A2038" s="486" t="s">
        <v>43</v>
      </c>
      <c r="B2038" s="486"/>
      <c r="C2038" s="486"/>
      <c r="D2038" s="486"/>
      <c r="E2038" s="486"/>
      <c r="F2038" s="486"/>
      <c r="G2038" s="486"/>
      <c r="H2038" s="486"/>
      <c r="I2038" s="486"/>
    </row>
    <row r="2039" spans="1:9" s="135" customFormat="1" ht="20.25" customHeight="1">
      <c r="A2039" s="273"/>
      <c r="B2039" s="273"/>
      <c r="C2039" s="273"/>
      <c r="D2039" s="273"/>
      <c r="E2039" s="273"/>
      <c r="F2039" s="273"/>
      <c r="G2039" s="273"/>
      <c r="H2039" s="273"/>
      <c r="I2039" s="273"/>
    </row>
    <row r="2040" spans="1:9" s="135" customFormat="1" ht="20.25" customHeight="1">
      <c r="A2040" s="273"/>
      <c r="B2040" s="273"/>
      <c r="C2040" s="273"/>
      <c r="D2040" s="273"/>
      <c r="E2040" s="273"/>
      <c r="F2040" s="273"/>
      <c r="G2040" s="273"/>
      <c r="H2040" s="273"/>
      <c r="I2040" s="273"/>
    </row>
    <row r="2041" spans="1:9" s="135" customFormat="1" ht="20.25" customHeight="1">
      <c r="A2041" s="273"/>
      <c r="B2041" s="273"/>
      <c r="C2041" s="273"/>
      <c r="D2041" s="273"/>
      <c r="E2041" s="273"/>
      <c r="F2041" s="273"/>
      <c r="G2041" s="273"/>
      <c r="H2041" s="273"/>
      <c r="I2041" s="273"/>
    </row>
    <row r="2042" spans="1:9" s="135" customFormat="1" ht="20.25" customHeight="1">
      <c r="A2042" s="273"/>
      <c r="E2042" s="273"/>
      <c r="F2042" s="273"/>
      <c r="G2042" s="273"/>
      <c r="H2042" s="273"/>
      <c r="I2042" s="273"/>
    </row>
    <row r="2043" spans="1:8" s="135" customFormat="1" ht="20.25" customHeight="1">
      <c r="A2043" s="273"/>
      <c r="B2043" s="281"/>
      <c r="C2043" s="281"/>
      <c r="D2043" s="281"/>
      <c r="E2043" s="273"/>
      <c r="F2043" s="273"/>
      <c r="G2043" s="273"/>
      <c r="H2043" s="273"/>
    </row>
    <row r="2044" spans="1:9" s="135" customFormat="1" ht="20.25" customHeight="1">
      <c r="A2044" s="273"/>
      <c r="B2044" s="281"/>
      <c r="C2044" s="281"/>
      <c r="D2044" s="281"/>
      <c r="E2044" s="273"/>
      <c r="F2044" s="273"/>
      <c r="G2044" s="273"/>
      <c r="H2044" s="273"/>
      <c r="I2044" s="443"/>
    </row>
    <row r="2045" spans="1:9" s="135" customFormat="1" ht="20.25" customHeight="1">
      <c r="A2045" s="273"/>
      <c r="B2045" s="281"/>
      <c r="C2045" s="281"/>
      <c r="D2045" s="281"/>
      <c r="E2045" s="273"/>
      <c r="F2045" s="273"/>
      <c r="G2045" s="273"/>
      <c r="H2045" s="273"/>
      <c r="I2045" s="443">
        <v>31</v>
      </c>
    </row>
    <row r="2046" spans="1:9" s="135" customFormat="1" ht="20.25" customHeight="1">
      <c r="A2046" s="273"/>
      <c r="B2046" s="281"/>
      <c r="C2046" s="281"/>
      <c r="D2046" s="281"/>
      <c r="E2046" s="273"/>
      <c r="F2046" s="273"/>
      <c r="G2046" s="273"/>
      <c r="H2046" s="273"/>
      <c r="I2046" s="443"/>
    </row>
    <row r="2047" spans="1:9" s="135" customFormat="1" ht="20.25" customHeight="1">
      <c r="A2047" s="273"/>
      <c r="B2047" s="281"/>
      <c r="C2047" s="281"/>
      <c r="D2047" s="281"/>
      <c r="E2047" s="273"/>
      <c r="F2047" s="273"/>
      <c r="G2047" s="273"/>
      <c r="H2047" s="273"/>
      <c r="I2047" s="443"/>
    </row>
    <row r="2048" spans="1:8" s="135" customFormat="1" ht="20.25" customHeight="1">
      <c r="A2048" s="273"/>
      <c r="B2048" s="273"/>
      <c r="C2048" s="273"/>
      <c r="D2048" s="273"/>
      <c r="E2048" s="273"/>
      <c r="F2048" s="273"/>
      <c r="G2048" s="273"/>
      <c r="H2048" s="273"/>
    </row>
    <row r="2049" spans="1:9" s="135" customFormat="1" ht="20.25" customHeight="1">
      <c r="A2049" s="273"/>
      <c r="B2049" s="273"/>
      <c r="C2049" s="273"/>
      <c r="D2049" s="273"/>
      <c r="E2049" s="273"/>
      <c r="F2049" s="273"/>
      <c r="G2049" s="273"/>
      <c r="H2049" s="273"/>
      <c r="I2049" s="273"/>
    </row>
    <row r="2050" spans="1:9" s="135" customFormat="1" ht="30" customHeight="1">
      <c r="A2050" s="273"/>
      <c r="B2050" s="605" t="s">
        <v>992</v>
      </c>
      <c r="C2050" s="605"/>
      <c r="D2050" s="605"/>
      <c r="E2050" s="273"/>
      <c r="F2050" s="273"/>
      <c r="G2050" s="273"/>
      <c r="H2050" s="273"/>
      <c r="I2050" s="273"/>
    </row>
    <row r="2051" spans="1:9" s="135" customFormat="1" ht="20.25" customHeight="1">
      <c r="A2051" s="273"/>
      <c r="F2051" s="273"/>
      <c r="G2051" s="273"/>
      <c r="H2051" s="273"/>
      <c r="I2051" s="273"/>
    </row>
    <row r="2052" spans="1:9" s="135" customFormat="1" ht="20.25" customHeight="1">
      <c r="A2052" s="273"/>
      <c r="B2052" s="273"/>
      <c r="C2052" s="273"/>
      <c r="D2052" s="273"/>
      <c r="E2052" s="273"/>
      <c r="F2052" s="273"/>
      <c r="G2052" s="273"/>
      <c r="H2052" s="273"/>
      <c r="I2052" s="273"/>
    </row>
    <row r="2053" spans="1:9" s="135" customFormat="1" ht="20.25" customHeight="1">
      <c r="A2053" s="273"/>
      <c r="B2053" s="273"/>
      <c r="C2053" s="273"/>
      <c r="D2053" s="273"/>
      <c r="E2053" s="273"/>
      <c r="F2053" s="273"/>
      <c r="G2053" s="273"/>
      <c r="H2053" s="273"/>
      <c r="I2053" s="273"/>
    </row>
    <row r="2054" spans="1:9" s="135" customFormat="1" ht="20.25" customHeight="1">
      <c r="A2054" s="273"/>
      <c r="B2054" s="273"/>
      <c r="C2054" s="273"/>
      <c r="D2054" s="273"/>
      <c r="E2054" s="273"/>
      <c r="F2054" s="273"/>
      <c r="G2054" s="273"/>
      <c r="H2054" s="273"/>
      <c r="I2054" s="273"/>
    </row>
    <row r="2055" spans="1:9" s="135" customFormat="1" ht="20.25" customHeight="1">
      <c r="A2055" s="273"/>
      <c r="B2055" s="273"/>
      <c r="C2055" s="273"/>
      <c r="D2055" s="273"/>
      <c r="E2055" s="273"/>
      <c r="F2055" s="273"/>
      <c r="G2055" s="273"/>
      <c r="H2055" s="273"/>
      <c r="I2055" s="273"/>
    </row>
    <row r="2056" spans="1:9" s="135" customFormat="1" ht="20.25" customHeight="1">
      <c r="A2056" s="273"/>
      <c r="B2056" s="273"/>
      <c r="C2056" s="273"/>
      <c r="D2056" s="273"/>
      <c r="E2056" s="273"/>
      <c r="F2056" s="273"/>
      <c r="G2056" s="273"/>
      <c r="H2056" s="273"/>
      <c r="I2056" s="273"/>
    </row>
    <row r="2057" spans="1:9" s="135" customFormat="1" ht="20.25" customHeight="1">
      <c r="A2057" s="273"/>
      <c r="B2057" s="273"/>
      <c r="C2057" s="273"/>
      <c r="D2057" s="273"/>
      <c r="E2057" s="273"/>
      <c r="F2057" s="273"/>
      <c r="G2057" s="273"/>
      <c r="H2057" s="273"/>
      <c r="I2057" s="273"/>
    </row>
    <row r="2058" spans="1:9" s="135" customFormat="1" ht="20.25" customHeight="1">
      <c r="A2058" s="273"/>
      <c r="B2058" s="273"/>
      <c r="C2058" s="273"/>
      <c r="D2058" s="273"/>
      <c r="E2058" s="273"/>
      <c r="F2058" s="273"/>
      <c r="G2058" s="273"/>
      <c r="H2058" s="273"/>
      <c r="I2058" s="273"/>
    </row>
    <row r="2059" spans="1:9" s="135" customFormat="1" ht="20.25" customHeight="1">
      <c r="A2059" s="273"/>
      <c r="B2059" s="273"/>
      <c r="C2059" s="273"/>
      <c r="D2059" s="273"/>
      <c r="E2059" s="273"/>
      <c r="F2059" s="273"/>
      <c r="G2059" s="273"/>
      <c r="H2059" s="273"/>
      <c r="I2059" s="273"/>
    </row>
    <row r="2060" spans="1:9" s="135" customFormat="1" ht="20.25" customHeight="1">
      <c r="A2060" s="273"/>
      <c r="F2060" s="273"/>
      <c r="G2060" s="273"/>
      <c r="H2060" s="273"/>
      <c r="I2060" s="273"/>
    </row>
    <row r="2061" spans="1:9" s="135" customFormat="1" ht="20.25" customHeight="1">
      <c r="A2061" s="273"/>
      <c r="B2061" s="273"/>
      <c r="C2061" s="273"/>
      <c r="D2061" s="273"/>
      <c r="E2061" s="273"/>
      <c r="F2061" s="273"/>
      <c r="G2061" s="273"/>
      <c r="H2061" s="273"/>
      <c r="I2061" s="273"/>
    </row>
    <row r="2062" spans="1:8" s="135" customFormat="1" ht="30" customHeight="1">
      <c r="A2062" s="273"/>
      <c r="B2062" s="605" t="s">
        <v>993</v>
      </c>
      <c r="C2062" s="605"/>
      <c r="D2062" s="605"/>
      <c r="E2062" s="605"/>
      <c r="F2062" s="273"/>
      <c r="G2062" s="273"/>
      <c r="H2062" s="273"/>
    </row>
    <row r="2063" spans="1:9" s="135" customFormat="1" ht="20.25" customHeight="1">
      <c r="A2063" s="273"/>
      <c r="B2063" s="273"/>
      <c r="C2063" s="273"/>
      <c r="D2063" s="273"/>
      <c r="E2063" s="273"/>
      <c r="F2063" s="273"/>
      <c r="G2063" s="273"/>
      <c r="H2063" s="273"/>
      <c r="I2063" s="273"/>
    </row>
    <row r="2064" spans="1:9" s="135" customFormat="1" ht="20.25" customHeight="1">
      <c r="A2064" s="273"/>
      <c r="B2064" s="273"/>
      <c r="C2064" s="273"/>
      <c r="D2064" s="273"/>
      <c r="E2064" s="273"/>
      <c r="F2064" s="273"/>
      <c r="G2064" s="273"/>
      <c r="H2064" s="273"/>
      <c r="I2064" s="273"/>
    </row>
    <row r="2065" spans="1:9" s="135" customFormat="1" ht="20.25" customHeight="1">
      <c r="A2065" s="273"/>
      <c r="B2065" s="273"/>
      <c r="C2065" s="273"/>
      <c r="D2065" s="273"/>
      <c r="E2065" s="273"/>
      <c r="F2065" s="273"/>
      <c r="G2065" s="273"/>
      <c r="H2065" s="273"/>
      <c r="I2065" s="273"/>
    </row>
    <row r="2066" spans="1:9" s="135" customFormat="1" ht="20.25" customHeight="1">
      <c r="A2066" s="273"/>
      <c r="B2066" s="273"/>
      <c r="C2066" s="273"/>
      <c r="D2066" s="273"/>
      <c r="E2066" s="273"/>
      <c r="F2066" s="273"/>
      <c r="G2066" s="273"/>
      <c r="H2066" s="273"/>
      <c r="I2066" s="273"/>
    </row>
    <row r="2067" spans="1:9" s="135" customFormat="1" ht="20.25" customHeight="1">
      <c r="A2067" s="273"/>
      <c r="B2067" s="273"/>
      <c r="C2067" s="273"/>
      <c r="D2067" s="273"/>
      <c r="E2067" s="273"/>
      <c r="F2067" s="273"/>
      <c r="G2067" s="273"/>
      <c r="H2067" s="273"/>
      <c r="I2067" s="273"/>
    </row>
    <row r="2068" spans="1:9" s="135" customFormat="1" ht="20.25" customHeight="1">
      <c r="A2068" s="273"/>
      <c r="B2068" s="273"/>
      <c r="C2068" s="273"/>
      <c r="D2068" s="273"/>
      <c r="E2068" s="273"/>
      <c r="F2068" s="273"/>
      <c r="G2068" s="273"/>
      <c r="H2068" s="273"/>
      <c r="I2068" s="273"/>
    </row>
    <row r="2069" spans="1:9" s="135" customFormat="1" ht="20.25" customHeight="1">
      <c r="A2069" s="273"/>
      <c r="B2069" s="273"/>
      <c r="C2069" s="273"/>
      <c r="D2069" s="273"/>
      <c r="E2069" s="273"/>
      <c r="F2069" s="273"/>
      <c r="G2069" s="273"/>
      <c r="H2069" s="273"/>
      <c r="I2069" s="273"/>
    </row>
    <row r="2070" spans="1:9" s="135" customFormat="1" ht="20.25" customHeight="1">
      <c r="A2070" s="273"/>
      <c r="B2070" s="273"/>
      <c r="C2070" s="273"/>
      <c r="D2070" s="273"/>
      <c r="E2070" s="273"/>
      <c r="F2070" s="273"/>
      <c r="G2070" s="273"/>
      <c r="H2070" s="273"/>
      <c r="I2070" s="273"/>
    </row>
    <row r="2071" spans="1:9" s="135" customFormat="1" ht="20.25" customHeight="1">
      <c r="A2071" s="273"/>
      <c r="B2071" s="273"/>
      <c r="C2071" s="273"/>
      <c r="D2071" s="273"/>
      <c r="E2071" s="273"/>
      <c r="F2071" s="273"/>
      <c r="G2071" s="273"/>
      <c r="H2071" s="273"/>
      <c r="I2071" s="273"/>
    </row>
    <row r="2072" spans="1:9" s="135" customFormat="1" ht="20.25" customHeight="1">
      <c r="A2072" s="273"/>
      <c r="B2072" s="273"/>
      <c r="C2072" s="273"/>
      <c r="D2072" s="273"/>
      <c r="E2072" s="273"/>
      <c r="F2072" s="273"/>
      <c r="G2072" s="273"/>
      <c r="H2072" s="273"/>
      <c r="I2072" s="273"/>
    </row>
    <row r="2073" spans="1:9" s="135" customFormat="1" ht="20.25" customHeight="1">
      <c r="A2073" s="273"/>
      <c r="B2073" s="273"/>
      <c r="C2073" s="273"/>
      <c r="D2073" s="273"/>
      <c r="E2073" s="273"/>
      <c r="F2073" s="273"/>
      <c r="G2073" s="273"/>
      <c r="H2073" s="273"/>
      <c r="I2073" s="273"/>
    </row>
    <row r="2074" spans="1:9" s="135" customFormat="1" ht="20.25" customHeight="1">
      <c r="A2074" s="273"/>
      <c r="B2074" s="273"/>
      <c r="C2074" s="273"/>
      <c r="D2074" s="273"/>
      <c r="E2074" s="273"/>
      <c r="F2074" s="273"/>
      <c r="G2074" s="273"/>
      <c r="H2074" s="273"/>
      <c r="I2074" s="273"/>
    </row>
    <row r="2075" spans="1:9" s="135" customFormat="1" ht="20.25" customHeight="1">
      <c r="A2075" s="273"/>
      <c r="B2075" s="273"/>
      <c r="C2075" s="273"/>
      <c r="D2075" s="273"/>
      <c r="E2075" s="273"/>
      <c r="F2075" s="273"/>
      <c r="G2075" s="273"/>
      <c r="H2075" s="273"/>
      <c r="I2075" s="273"/>
    </row>
    <row r="2076" spans="1:9" s="135" customFormat="1" ht="20.25" customHeight="1">
      <c r="A2076" s="273"/>
      <c r="B2076" s="273"/>
      <c r="C2076" s="273"/>
      <c r="D2076" s="273"/>
      <c r="E2076" s="273"/>
      <c r="F2076" s="273"/>
      <c r="G2076" s="273"/>
      <c r="H2076" s="273"/>
      <c r="I2076" s="273"/>
    </row>
    <row r="2077" spans="1:9" s="135" customFormat="1" ht="20.25" customHeight="1">
      <c r="A2077" s="273"/>
      <c r="B2077" s="273"/>
      <c r="C2077" s="273"/>
      <c r="D2077" s="273"/>
      <c r="E2077" s="273"/>
      <c r="F2077" s="273"/>
      <c r="G2077" s="273"/>
      <c r="H2077" s="273"/>
      <c r="I2077" s="273"/>
    </row>
    <row r="2078" spans="1:9" s="135" customFormat="1" ht="20.25" customHeight="1">
      <c r="A2078" s="273"/>
      <c r="B2078" s="273"/>
      <c r="C2078" s="273"/>
      <c r="D2078" s="273"/>
      <c r="E2078" s="273"/>
      <c r="F2078" s="273"/>
      <c r="G2078" s="273"/>
      <c r="H2078" s="273"/>
      <c r="I2078" s="273"/>
    </row>
    <row r="2079" spans="1:9" s="135" customFormat="1" ht="20.25" customHeight="1">
      <c r="A2079" s="273"/>
      <c r="B2079" s="273"/>
      <c r="C2079" s="273"/>
      <c r="D2079" s="273"/>
      <c r="E2079" s="273"/>
      <c r="F2079" s="273"/>
      <c r="G2079" s="273"/>
      <c r="H2079" s="273"/>
      <c r="I2079" s="273"/>
    </row>
    <row r="2080" spans="1:9" s="135" customFormat="1" ht="20.25" customHeight="1">
      <c r="A2080" s="273"/>
      <c r="B2080" s="273"/>
      <c r="C2080" s="273"/>
      <c r="D2080" s="273"/>
      <c r="E2080" s="273"/>
      <c r="F2080" s="273"/>
      <c r="G2080" s="273"/>
      <c r="H2080" s="273"/>
      <c r="I2080" s="273"/>
    </row>
    <row r="2081" spans="1:9" s="135" customFormat="1" ht="20.25" customHeight="1">
      <c r="A2081" s="273"/>
      <c r="B2081" s="273"/>
      <c r="C2081" s="273"/>
      <c r="D2081" s="273"/>
      <c r="E2081" s="273"/>
      <c r="F2081" s="273"/>
      <c r="G2081" s="273"/>
      <c r="H2081" s="273"/>
      <c r="I2081" s="273"/>
    </row>
    <row r="2082" spans="1:9" s="135" customFormat="1" ht="20.25" customHeight="1">
      <c r="A2082" s="273"/>
      <c r="B2082" s="273"/>
      <c r="C2082" s="273"/>
      <c r="D2082" s="273"/>
      <c r="E2082" s="273"/>
      <c r="F2082" s="273"/>
      <c r="G2082" s="273"/>
      <c r="H2082" s="273"/>
      <c r="I2082" s="273"/>
    </row>
    <row r="2083" spans="1:9" s="135" customFormat="1" ht="20.25" customHeight="1">
      <c r="A2083" s="273"/>
      <c r="B2083" s="273"/>
      <c r="C2083" s="273"/>
      <c r="D2083" s="273"/>
      <c r="E2083" s="273"/>
      <c r="F2083" s="273"/>
      <c r="G2083" s="273"/>
      <c r="H2083" s="273"/>
      <c r="I2083" s="273"/>
    </row>
    <row r="2084" spans="1:9" s="135" customFormat="1" ht="20.25" customHeight="1">
      <c r="A2084" s="273"/>
      <c r="B2084" s="273"/>
      <c r="C2084" s="273"/>
      <c r="D2084" s="273"/>
      <c r="E2084" s="273"/>
      <c r="F2084" s="273"/>
      <c r="G2084" s="273"/>
      <c r="H2084" s="273"/>
      <c r="I2084" s="273"/>
    </row>
    <row r="2085" spans="1:9" s="135" customFormat="1" ht="20.25" customHeight="1">
      <c r="A2085" s="273"/>
      <c r="B2085" s="273"/>
      <c r="C2085" s="273"/>
      <c r="D2085" s="273"/>
      <c r="E2085" s="273"/>
      <c r="F2085" s="273"/>
      <c r="G2085" s="273"/>
      <c r="H2085" s="273"/>
      <c r="I2085" s="273"/>
    </row>
    <row r="2086" spans="1:9" s="135" customFormat="1" ht="20.25" customHeight="1">
      <c r="A2086" s="273"/>
      <c r="B2086" s="273"/>
      <c r="C2086" s="273"/>
      <c r="D2086" s="273"/>
      <c r="E2086" s="273"/>
      <c r="F2086" s="273"/>
      <c r="G2086" s="273"/>
      <c r="H2086" s="273"/>
      <c r="I2086" s="273"/>
    </row>
    <row r="2087" spans="1:9" s="135" customFormat="1" ht="20.25" customHeight="1">
      <c r="A2087" s="273"/>
      <c r="B2087" s="273"/>
      <c r="C2087" s="273"/>
      <c r="D2087" s="273"/>
      <c r="E2087" s="273"/>
      <c r="F2087" s="273"/>
      <c r="G2087" s="273"/>
      <c r="H2087" s="273"/>
      <c r="I2087" s="273"/>
    </row>
    <row r="2088" spans="1:9" s="135" customFormat="1" ht="20.25" customHeight="1">
      <c r="A2088" s="273"/>
      <c r="B2088" s="273"/>
      <c r="C2088" s="273"/>
      <c r="D2088" s="273"/>
      <c r="E2088" s="273"/>
      <c r="F2088" s="273"/>
      <c r="G2088" s="273"/>
      <c r="H2088" s="273"/>
      <c r="I2088" s="273"/>
    </row>
    <row r="2089" spans="1:9" s="135" customFormat="1" ht="20.25" customHeight="1">
      <c r="A2089" s="273"/>
      <c r="B2089" s="273"/>
      <c r="C2089" s="273"/>
      <c r="D2089" s="273"/>
      <c r="E2089" s="273"/>
      <c r="F2089" s="273"/>
      <c r="G2089" s="273"/>
      <c r="H2089" s="273"/>
      <c r="I2089" s="273"/>
    </row>
    <row r="2090" spans="1:9" s="135" customFormat="1" ht="20.25" customHeight="1">
      <c r="A2090" s="273"/>
      <c r="B2090" s="273"/>
      <c r="C2090" s="273"/>
      <c r="D2090" s="273"/>
      <c r="E2090" s="273"/>
      <c r="F2090" s="273"/>
      <c r="G2090" s="273"/>
      <c r="H2090" s="273"/>
      <c r="I2090" s="273"/>
    </row>
    <row r="2091" spans="1:9" s="135" customFormat="1" ht="20.25" customHeight="1">
      <c r="A2091" s="273"/>
      <c r="B2091" s="273"/>
      <c r="C2091" s="273"/>
      <c r="D2091" s="273"/>
      <c r="E2091" s="273"/>
      <c r="F2091" s="273"/>
      <c r="G2091" s="273"/>
      <c r="H2091" s="273"/>
      <c r="I2091" s="273"/>
    </row>
    <row r="2092" spans="1:9" s="135" customFormat="1" ht="20.25" customHeight="1">
      <c r="A2092" s="273"/>
      <c r="B2092" s="273"/>
      <c r="C2092" s="273"/>
      <c r="D2092" s="273"/>
      <c r="E2092" s="273"/>
      <c r="F2092" s="273"/>
      <c r="G2092" s="273"/>
      <c r="H2092" s="273"/>
      <c r="I2092" s="273"/>
    </row>
    <row r="2093" spans="1:9" s="135" customFormat="1" ht="20.25" customHeight="1">
      <c r="A2093" s="273"/>
      <c r="B2093" s="273"/>
      <c r="C2093" s="273"/>
      <c r="D2093" s="273"/>
      <c r="E2093" s="273"/>
      <c r="F2093" s="273"/>
      <c r="G2093" s="273"/>
      <c r="H2093" s="273"/>
      <c r="I2093" s="273"/>
    </row>
    <row r="2094" spans="1:9" s="135" customFormat="1" ht="20.25" customHeight="1">
      <c r="A2094" s="273"/>
      <c r="B2094" s="273"/>
      <c r="C2094" s="273"/>
      <c r="D2094" s="273"/>
      <c r="E2094" s="273"/>
      <c r="F2094" s="273"/>
      <c r="G2094" s="273"/>
      <c r="H2094" s="273"/>
      <c r="I2094" s="273"/>
    </row>
    <row r="2095" spans="1:9" s="135" customFormat="1" ht="20.25" customHeight="1">
      <c r="A2095" s="273"/>
      <c r="B2095" s="273"/>
      <c r="C2095" s="273"/>
      <c r="D2095" s="273"/>
      <c r="E2095" s="273"/>
      <c r="F2095" s="273"/>
      <c r="G2095" s="273"/>
      <c r="H2095" s="273"/>
      <c r="I2095" s="273"/>
    </row>
    <row r="2096" spans="1:9" s="135" customFormat="1" ht="20.25" customHeight="1">
      <c r="A2096" s="273"/>
      <c r="B2096" s="273"/>
      <c r="C2096" s="273"/>
      <c r="D2096" s="273"/>
      <c r="E2096" s="273"/>
      <c r="F2096" s="273"/>
      <c r="G2096" s="273"/>
      <c r="H2096" s="273"/>
      <c r="I2096" s="273"/>
    </row>
    <row r="2097" spans="1:9" s="135" customFormat="1" ht="20.25" customHeight="1">
      <c r="A2097" s="273"/>
      <c r="B2097" s="273"/>
      <c r="C2097" s="273"/>
      <c r="D2097" s="273"/>
      <c r="E2097" s="273"/>
      <c r="F2097" s="273"/>
      <c r="G2097" s="273"/>
      <c r="H2097" s="273"/>
      <c r="I2097" s="273"/>
    </row>
    <row r="2098" spans="1:9" s="135" customFormat="1" ht="20.25" customHeight="1">
      <c r="A2098" s="273"/>
      <c r="B2098" s="273"/>
      <c r="C2098" s="273"/>
      <c r="D2098" s="273"/>
      <c r="E2098" s="273"/>
      <c r="F2098" s="273"/>
      <c r="G2098" s="273"/>
      <c r="H2098" s="273"/>
      <c r="I2098" s="273"/>
    </row>
    <row r="2099" spans="1:9" s="135" customFormat="1" ht="20.25" customHeight="1">
      <c r="A2099" s="273"/>
      <c r="B2099" s="273"/>
      <c r="C2099" s="273"/>
      <c r="D2099" s="273"/>
      <c r="E2099" s="273"/>
      <c r="F2099" s="273"/>
      <c r="G2099" s="273"/>
      <c r="H2099" s="273"/>
      <c r="I2099" s="273"/>
    </row>
    <row r="2100" spans="1:9" s="135" customFormat="1" ht="20.25" customHeight="1">
      <c r="A2100" s="273"/>
      <c r="B2100" s="273"/>
      <c r="C2100" s="273"/>
      <c r="D2100" s="273"/>
      <c r="E2100" s="273"/>
      <c r="F2100" s="273"/>
      <c r="G2100" s="273"/>
      <c r="H2100" s="273"/>
      <c r="I2100" s="273"/>
    </row>
    <row r="2101" spans="1:9" s="135" customFormat="1" ht="20.25" customHeight="1">
      <c r="A2101" s="273"/>
      <c r="B2101" s="273"/>
      <c r="C2101" s="273"/>
      <c r="D2101" s="273"/>
      <c r="E2101" s="273"/>
      <c r="F2101" s="273"/>
      <c r="G2101" s="273"/>
      <c r="H2101" s="273"/>
      <c r="I2101" s="273"/>
    </row>
    <row r="2102" spans="1:9" s="135" customFormat="1" ht="20.25" customHeight="1">
      <c r="A2102" s="273"/>
      <c r="B2102" s="273"/>
      <c r="C2102" s="273"/>
      <c r="D2102" s="273"/>
      <c r="E2102" s="273"/>
      <c r="F2102" s="273"/>
      <c r="G2102" s="273"/>
      <c r="H2102" s="273"/>
      <c r="I2102" s="273"/>
    </row>
    <row r="2103" spans="1:9" s="135" customFormat="1" ht="20.25" customHeight="1">
      <c r="A2103" s="273"/>
      <c r="B2103" s="273"/>
      <c r="C2103" s="273"/>
      <c r="D2103" s="273"/>
      <c r="E2103" s="273"/>
      <c r="F2103" s="273"/>
      <c r="G2103" s="273"/>
      <c r="H2103" s="273"/>
      <c r="I2103" s="273"/>
    </row>
    <row r="2104" spans="1:9" s="135" customFormat="1" ht="20.25" customHeight="1">
      <c r="A2104" s="273"/>
      <c r="B2104" s="273"/>
      <c r="C2104" s="273"/>
      <c r="D2104" s="273"/>
      <c r="E2104" s="273"/>
      <c r="F2104" s="273"/>
      <c r="G2104" s="273"/>
      <c r="H2104" s="273"/>
      <c r="I2104" s="273"/>
    </row>
    <row r="2105" spans="1:9" s="135" customFormat="1" ht="20.25" customHeight="1">
      <c r="A2105" s="273"/>
      <c r="B2105" s="273"/>
      <c r="C2105" s="273"/>
      <c r="D2105" s="273"/>
      <c r="E2105" s="273"/>
      <c r="F2105" s="273"/>
      <c r="G2105" s="273"/>
      <c r="H2105" s="273"/>
      <c r="I2105" s="273"/>
    </row>
    <row r="2106" spans="1:9" s="135" customFormat="1" ht="20.25" customHeight="1">
      <c r="A2106" s="273"/>
      <c r="B2106" s="273"/>
      <c r="C2106" s="273"/>
      <c r="D2106" s="273"/>
      <c r="E2106" s="273"/>
      <c r="F2106" s="273"/>
      <c r="G2106" s="273"/>
      <c r="H2106" s="273"/>
      <c r="I2106" s="209"/>
    </row>
    <row r="2107" spans="1:9" s="135" customFormat="1" ht="20.25" customHeight="1">
      <c r="A2107" s="273"/>
      <c r="B2107" s="273"/>
      <c r="C2107" s="273"/>
      <c r="D2107" s="273"/>
      <c r="E2107" s="273"/>
      <c r="F2107" s="273"/>
      <c r="G2107" s="273"/>
      <c r="H2107" s="273"/>
      <c r="I2107" s="430"/>
    </row>
    <row r="2108" spans="1:9" s="135" customFormat="1" ht="20.25" customHeight="1">
      <c r="A2108" s="273"/>
      <c r="B2108" s="273"/>
      <c r="C2108" s="273"/>
      <c r="D2108" s="273"/>
      <c r="E2108" s="273"/>
      <c r="F2108" s="273"/>
      <c r="G2108" s="273"/>
      <c r="H2108" s="273"/>
      <c r="I2108" s="430">
        <v>32</v>
      </c>
    </row>
    <row r="2109" spans="1:9" s="135" customFormat="1" ht="20.25" customHeight="1">
      <c r="A2109" s="273"/>
      <c r="B2109" s="273"/>
      <c r="C2109" s="273"/>
      <c r="D2109" s="273"/>
      <c r="E2109" s="273"/>
      <c r="F2109" s="273"/>
      <c r="G2109" s="273"/>
      <c r="H2109" s="273"/>
      <c r="I2109" s="209"/>
    </row>
    <row r="2110" spans="1:9" s="135" customFormat="1" ht="20.25" customHeight="1">
      <c r="A2110" s="273"/>
      <c r="E2110" s="273"/>
      <c r="F2110" s="273"/>
      <c r="G2110" s="273"/>
      <c r="H2110" s="273"/>
      <c r="I2110" s="209"/>
    </row>
    <row r="2111" spans="1:9" s="135" customFormat="1" ht="20.25" customHeight="1">
      <c r="A2111" s="273"/>
      <c r="E2111" s="273"/>
      <c r="F2111" s="273"/>
      <c r="G2111" s="273"/>
      <c r="H2111" s="273"/>
      <c r="I2111" s="209"/>
    </row>
    <row r="2112" spans="1:9" s="135" customFormat="1" ht="30" customHeight="1">
      <c r="A2112" s="278"/>
      <c r="B2112" s="608" t="s">
        <v>627</v>
      </c>
      <c r="C2112" s="608"/>
      <c r="D2112" s="608"/>
      <c r="E2112" s="608"/>
      <c r="F2112" s="608"/>
      <c r="G2112" s="608"/>
      <c r="I2112" s="272"/>
    </row>
    <row r="2113" spans="1:9" s="135" customFormat="1" ht="20.25" customHeight="1">
      <c r="A2113" s="278"/>
      <c r="B2113" s="278"/>
      <c r="C2113" s="278"/>
      <c r="D2113" s="278"/>
      <c r="E2113" s="278"/>
      <c r="F2113" s="278"/>
      <c r="G2113" s="278"/>
      <c r="I2113" s="272"/>
    </row>
    <row r="2114" spans="1:9" s="135" customFormat="1" ht="20.25" customHeight="1">
      <c r="A2114" s="278"/>
      <c r="C2114" s="278"/>
      <c r="D2114" s="278"/>
      <c r="E2114" s="278"/>
      <c r="F2114" s="278"/>
      <c r="G2114" s="278"/>
      <c r="I2114" s="272"/>
    </row>
    <row r="2115" spans="1:9" s="135" customFormat="1" ht="20.25" customHeight="1">
      <c r="A2115" s="278"/>
      <c r="B2115" s="278"/>
      <c r="C2115" s="278"/>
      <c r="D2115" s="278"/>
      <c r="E2115" s="278"/>
      <c r="F2115" s="278"/>
      <c r="G2115" s="278"/>
      <c r="I2115" s="272"/>
    </row>
    <row r="2116" spans="1:9" s="135" customFormat="1" ht="20.25" customHeight="1">
      <c r="A2116" s="609" t="s">
        <v>44</v>
      </c>
      <c r="B2116" s="609"/>
      <c r="C2116" s="609"/>
      <c r="D2116" s="609"/>
      <c r="E2116" s="609"/>
      <c r="F2116" s="609"/>
      <c r="G2116" s="609"/>
      <c r="H2116" s="609"/>
      <c r="I2116" s="609"/>
    </row>
    <row r="2117" spans="1:9" s="135" customFormat="1" ht="20.25" customHeight="1">
      <c r="A2117" s="191"/>
      <c r="B2117" s="191"/>
      <c r="C2117" s="191"/>
      <c r="D2117" s="191"/>
      <c r="E2117" s="191"/>
      <c r="F2117" s="191"/>
      <c r="G2117" s="191"/>
      <c r="H2117" s="191"/>
      <c r="I2117" s="191"/>
    </row>
    <row r="2118" spans="1:8" s="135" customFormat="1" ht="20.25" customHeight="1">
      <c r="A2118" s="40"/>
      <c r="B2118" s="39"/>
      <c r="C2118"/>
      <c r="D2118" s="487" t="s">
        <v>682</v>
      </c>
      <c r="E2118" s="487"/>
      <c r="F2118" s="487"/>
      <c r="G2118" s="40"/>
      <c r="H2118" s="40"/>
    </row>
    <row r="2119" spans="1:8" s="135" customFormat="1" ht="20.25" customHeight="1">
      <c r="A2119" s="40"/>
      <c r="B2119" s="40"/>
      <c r="C2119" s="40"/>
      <c r="D2119" s="40"/>
      <c r="E2119" s="40"/>
      <c r="F2119" s="40"/>
      <c r="G2119" s="40"/>
      <c r="H2119" s="40"/>
    </row>
    <row r="2120" spans="1:9" s="135" customFormat="1" ht="20.25" customHeight="1">
      <c r="A2120" s="612" t="s">
        <v>683</v>
      </c>
      <c r="B2120" s="491" t="s">
        <v>688</v>
      </c>
      <c r="C2120" s="492"/>
      <c r="D2120" s="5" t="s">
        <v>686</v>
      </c>
      <c r="E2120" s="5" t="s">
        <v>712</v>
      </c>
      <c r="F2120" s="5" t="s">
        <v>686</v>
      </c>
      <c r="G2120" s="510" t="s">
        <v>713</v>
      </c>
      <c r="H2120" s="511"/>
      <c r="I2120" s="6" t="s">
        <v>714</v>
      </c>
    </row>
    <row r="2121" spans="1:9" s="135" customFormat="1" ht="20.25" customHeight="1">
      <c r="A2121" s="613"/>
      <c r="B2121" s="493"/>
      <c r="C2121" s="494"/>
      <c r="D2121" s="7" t="s">
        <v>656</v>
      </c>
      <c r="E2121" s="7" t="s">
        <v>715</v>
      </c>
      <c r="F2121" s="7" t="s">
        <v>657</v>
      </c>
      <c r="G2121" s="8" t="s">
        <v>706</v>
      </c>
      <c r="H2121" s="9" t="s">
        <v>707</v>
      </c>
      <c r="I2121" s="10" t="s">
        <v>717</v>
      </c>
    </row>
    <row r="2122" spans="1:9" s="135" customFormat="1" ht="20.25" customHeight="1">
      <c r="A2122" s="13">
        <v>1</v>
      </c>
      <c r="B2122" s="295">
        <v>2</v>
      </c>
      <c r="C2122" s="296"/>
      <c r="D2122" s="12">
        <v>3</v>
      </c>
      <c r="E2122" s="12">
        <v>4</v>
      </c>
      <c r="F2122" s="12">
        <v>5</v>
      </c>
      <c r="G2122" s="12">
        <v>6</v>
      </c>
      <c r="H2122" s="12">
        <v>7</v>
      </c>
      <c r="I2122" s="13">
        <v>8</v>
      </c>
    </row>
    <row r="2123" spans="1:9" s="135" customFormat="1" ht="20.25" customHeight="1">
      <c r="A2123" s="304">
        <v>50408</v>
      </c>
      <c r="B2123" s="610" t="s">
        <v>991</v>
      </c>
      <c r="C2123" s="611"/>
      <c r="D2123" s="151">
        <v>4912.42</v>
      </c>
      <c r="E2123" s="290">
        <v>10000</v>
      </c>
      <c r="F2123" s="14">
        <v>3882.18</v>
      </c>
      <c r="G2123" s="15">
        <f>F2123/D2123</f>
        <v>0.7902785185305816</v>
      </c>
      <c r="H2123" s="16">
        <f>F2123/E2123</f>
        <v>0.388218</v>
      </c>
      <c r="I2123" s="16">
        <f>F2123/F2125</f>
        <v>1</v>
      </c>
    </row>
    <row r="2124" spans="1:9" s="135" customFormat="1" ht="20.25" customHeight="1">
      <c r="A2124" s="304">
        <v>50413</v>
      </c>
      <c r="B2124" s="610" t="s">
        <v>1057</v>
      </c>
      <c r="C2124" s="611"/>
      <c r="D2124" s="151">
        <v>24720</v>
      </c>
      <c r="E2124" s="290">
        <v>10000</v>
      </c>
      <c r="F2124" s="14">
        <v>0</v>
      </c>
      <c r="G2124" s="15">
        <f>F2124/D2124</f>
        <v>0</v>
      </c>
      <c r="H2124" s="16">
        <f>F2124/E2124</f>
        <v>0</v>
      </c>
      <c r="I2124" s="16">
        <f>F2124/F2125</f>
        <v>0</v>
      </c>
    </row>
    <row r="2125" spans="1:9" s="135" customFormat="1" ht="30" customHeight="1">
      <c r="A2125" s="17"/>
      <c r="B2125" s="548" t="s">
        <v>919</v>
      </c>
      <c r="C2125" s="549"/>
      <c r="D2125" s="288">
        <f>D2123+D2124</f>
        <v>29632.42</v>
      </c>
      <c r="E2125" s="288">
        <f>E2123+E2124</f>
        <v>20000</v>
      </c>
      <c r="F2125" s="279">
        <f>F2123+F2124</f>
        <v>3882.18</v>
      </c>
      <c r="G2125" s="265">
        <f>F2125/D2125</f>
        <v>0.13101123701675396</v>
      </c>
      <c r="H2125" s="266">
        <f>F2125/E2125</f>
        <v>0.194109</v>
      </c>
      <c r="I2125" s="213">
        <f>SUM(I2123:I2123)</f>
        <v>1</v>
      </c>
    </row>
    <row r="2126" spans="1:9" s="135" customFormat="1" ht="20.25" customHeight="1">
      <c r="A2126" s="282"/>
      <c r="B2126" s="283"/>
      <c r="C2126" s="283"/>
      <c r="D2126" s="284"/>
      <c r="E2126" s="285"/>
      <c r="F2126" s="285"/>
      <c r="G2126" s="286"/>
      <c r="H2126" s="287"/>
      <c r="I2126" s="287"/>
    </row>
    <row r="2127" spans="1:9" s="135" customFormat="1" ht="20.25" customHeight="1">
      <c r="A2127" s="599" t="s">
        <v>138</v>
      </c>
      <c r="B2127" s="599"/>
      <c r="C2127" s="599"/>
      <c r="D2127" s="599"/>
      <c r="E2127" s="599"/>
      <c r="F2127" s="599"/>
      <c r="G2127" s="599"/>
      <c r="H2127" s="599"/>
      <c r="I2127" s="599"/>
    </row>
    <row r="2128" spans="1:9" s="135" customFormat="1" ht="20.25" customHeight="1">
      <c r="A2128" s="599" t="s">
        <v>139</v>
      </c>
      <c r="B2128" s="599"/>
      <c r="C2128" s="599"/>
      <c r="D2128" s="599"/>
      <c r="E2128" s="599"/>
      <c r="F2128" s="599"/>
      <c r="G2128" s="599"/>
      <c r="H2128" s="599"/>
      <c r="I2128" s="599"/>
    </row>
    <row r="2129" spans="1:6" s="135" customFormat="1" ht="20.25" customHeight="1">
      <c r="A2129" s="282"/>
      <c r="F2129"/>
    </row>
    <row r="2130" spans="1:8" s="135" customFormat="1" ht="20.25" customHeight="1">
      <c r="A2130" s="40"/>
      <c r="B2130" s="40"/>
      <c r="C2130"/>
      <c r="D2130" s="607" t="s">
        <v>682</v>
      </c>
      <c r="E2130" s="607"/>
      <c r="F2130" s="607"/>
      <c r="G2130" s="40"/>
      <c r="H2130" s="40"/>
    </row>
    <row r="2131" spans="1:8" s="135" customFormat="1" ht="20.25" customHeight="1">
      <c r="A2131" s="40"/>
      <c r="B2131" s="40"/>
      <c r="C2131" s="40"/>
      <c r="D2131" s="40"/>
      <c r="E2131" s="40"/>
      <c r="F2131" s="40"/>
      <c r="G2131" s="40"/>
      <c r="H2131" s="40"/>
    </row>
    <row r="2132" spans="1:9" s="135" customFormat="1" ht="20.25" customHeight="1">
      <c r="A2132" s="22" t="s">
        <v>683</v>
      </c>
      <c r="B2132" s="491" t="s">
        <v>688</v>
      </c>
      <c r="C2132" s="492"/>
      <c r="D2132" s="5" t="s">
        <v>686</v>
      </c>
      <c r="E2132" s="5" t="s">
        <v>712</v>
      </c>
      <c r="F2132" s="5" t="s">
        <v>686</v>
      </c>
      <c r="G2132" s="510" t="s">
        <v>713</v>
      </c>
      <c r="H2132" s="511"/>
      <c r="I2132" s="6" t="s">
        <v>714</v>
      </c>
    </row>
    <row r="2133" spans="1:9" s="135" customFormat="1" ht="20.25" customHeight="1">
      <c r="A2133" s="23" t="s">
        <v>97</v>
      </c>
      <c r="B2133" s="493"/>
      <c r="C2133" s="494"/>
      <c r="D2133" s="7" t="s">
        <v>656</v>
      </c>
      <c r="E2133" s="7" t="s">
        <v>715</v>
      </c>
      <c r="F2133" s="7" t="s">
        <v>657</v>
      </c>
      <c r="G2133" s="8" t="s">
        <v>706</v>
      </c>
      <c r="H2133" s="9" t="s">
        <v>707</v>
      </c>
      <c r="I2133" s="10" t="s">
        <v>717</v>
      </c>
    </row>
    <row r="2134" spans="1:9" s="135" customFormat="1" ht="20.25" customHeight="1">
      <c r="A2134" s="13">
        <v>1</v>
      </c>
      <c r="B2134" s="535">
        <v>2</v>
      </c>
      <c r="C2134" s="536"/>
      <c r="D2134" s="12">
        <v>3</v>
      </c>
      <c r="E2134" s="12">
        <v>4</v>
      </c>
      <c r="F2134" s="12">
        <v>5</v>
      </c>
      <c r="G2134" s="12">
        <v>6</v>
      </c>
      <c r="H2134" s="12">
        <v>7</v>
      </c>
      <c r="I2134" s="13">
        <v>8</v>
      </c>
    </row>
    <row r="2135" spans="1:9" s="135" customFormat="1" ht="20.25" customHeight="1">
      <c r="A2135" s="4">
        <v>111</v>
      </c>
      <c r="B2135" s="504" t="s">
        <v>540</v>
      </c>
      <c r="C2135" s="505"/>
      <c r="D2135" s="25">
        <v>3393.6</v>
      </c>
      <c r="E2135" s="25">
        <v>24000</v>
      </c>
      <c r="F2135" s="25">
        <v>8363.85</v>
      </c>
      <c r="G2135" s="15">
        <f aca="true" t="shared" si="92" ref="G2135:G2140">F2135/D2135</f>
        <v>2.4645951202263086</v>
      </c>
      <c r="H2135" s="16">
        <f aca="true" t="shared" si="93" ref="H2135:H2140">F2135/E2135</f>
        <v>0.34849375</v>
      </c>
      <c r="I2135" s="16">
        <f>F2135/F2140</f>
        <v>0.7494482531825688</v>
      </c>
    </row>
    <row r="2136" spans="1:9" s="135" customFormat="1" ht="20.25" customHeight="1">
      <c r="A2136" s="4">
        <v>130</v>
      </c>
      <c r="B2136" s="504" t="s">
        <v>541</v>
      </c>
      <c r="C2136" s="505"/>
      <c r="D2136" s="234">
        <v>3472.77</v>
      </c>
      <c r="E2136" s="14">
        <v>7000</v>
      </c>
      <c r="F2136" s="14">
        <v>2796.16</v>
      </c>
      <c r="G2136" s="15">
        <f t="shared" si="92"/>
        <v>0.805167056845112</v>
      </c>
      <c r="H2136" s="16">
        <f t="shared" si="93"/>
        <v>0.39945142857142857</v>
      </c>
      <c r="I2136" s="16">
        <f>F2136/F2140</f>
        <v>0.25055174681743114</v>
      </c>
    </row>
    <row r="2137" spans="1:9" s="135" customFormat="1" ht="20.25" customHeight="1">
      <c r="A2137" s="4">
        <v>132</v>
      </c>
      <c r="B2137" s="504" t="s">
        <v>542</v>
      </c>
      <c r="C2137" s="505"/>
      <c r="D2137" s="238">
        <v>0</v>
      </c>
      <c r="E2137" s="25">
        <v>0</v>
      </c>
      <c r="F2137" s="25">
        <v>0</v>
      </c>
      <c r="G2137" s="15" t="e">
        <f t="shared" si="92"/>
        <v>#DIV/0!</v>
      </c>
      <c r="H2137" s="16" t="e">
        <f t="shared" si="93"/>
        <v>#DIV/0!</v>
      </c>
      <c r="I2137" s="16">
        <f>F2137/F2140</f>
        <v>0</v>
      </c>
    </row>
    <row r="2138" spans="1:9" s="135" customFormat="1" ht="20.25" customHeight="1">
      <c r="A2138" s="4">
        <v>200</v>
      </c>
      <c r="B2138" s="504" t="s">
        <v>543</v>
      </c>
      <c r="C2138" s="505"/>
      <c r="D2138" s="54">
        <v>0</v>
      </c>
      <c r="E2138" s="25">
        <v>0</v>
      </c>
      <c r="F2138" s="25">
        <v>0</v>
      </c>
      <c r="G2138" s="15" t="e">
        <f t="shared" si="92"/>
        <v>#DIV/0!</v>
      </c>
      <c r="H2138" s="16" t="e">
        <f t="shared" si="93"/>
        <v>#DIV/0!</v>
      </c>
      <c r="I2138" s="16">
        <f>F2138/F2140</f>
        <v>0</v>
      </c>
    </row>
    <row r="2139" spans="1:9" s="135" customFormat="1" ht="20.25" customHeight="1">
      <c r="A2139" s="4">
        <v>300</v>
      </c>
      <c r="B2139" s="504" t="s">
        <v>544</v>
      </c>
      <c r="C2139" s="505"/>
      <c r="D2139" s="25">
        <v>0</v>
      </c>
      <c r="E2139" s="25">
        <v>0</v>
      </c>
      <c r="F2139" s="25">
        <v>0</v>
      </c>
      <c r="G2139" s="15" t="e">
        <f t="shared" si="92"/>
        <v>#DIV/0!</v>
      </c>
      <c r="H2139" s="16" t="e">
        <f t="shared" si="93"/>
        <v>#DIV/0!</v>
      </c>
      <c r="I2139" s="16">
        <f>F2139/F2140</f>
        <v>0</v>
      </c>
    </row>
    <row r="2140" spans="1:9" s="135" customFormat="1" ht="30" customHeight="1">
      <c r="A2140" s="17"/>
      <c r="B2140" s="548" t="s">
        <v>95</v>
      </c>
      <c r="C2140" s="549"/>
      <c r="D2140" s="288">
        <f>D2135+D2136+D2137+D2138+D2139</f>
        <v>6866.37</v>
      </c>
      <c r="E2140" s="211">
        <f>E2135+E2136+E2137+E2138+E2139</f>
        <v>31000</v>
      </c>
      <c r="F2140" s="211">
        <f>F2135+F2136+F2137+F2138+F2139</f>
        <v>11160.01</v>
      </c>
      <c r="G2140" s="265">
        <f t="shared" si="92"/>
        <v>1.6253143946510311</v>
      </c>
      <c r="H2140" s="266">
        <f t="shared" si="93"/>
        <v>0.3600003225806452</v>
      </c>
      <c r="I2140" s="266">
        <f>SUM(I2135:I2139)</f>
        <v>1</v>
      </c>
    </row>
    <row r="2141" spans="1:8" s="135" customFormat="1" ht="20.25" customHeight="1">
      <c r="A2141" s="49"/>
      <c r="B2141" s="49"/>
      <c r="C2141" s="49"/>
      <c r="D2141" s="49"/>
      <c r="E2141" s="208"/>
      <c r="F2141" s="49"/>
      <c r="G2141" s="49"/>
      <c r="H2141" s="40"/>
    </row>
    <row r="2142" spans="1:9" s="135" customFormat="1" ht="20.25" customHeight="1">
      <c r="A2142" s="299"/>
      <c r="B2142" s="600" t="s">
        <v>45</v>
      </c>
      <c r="C2142" s="600"/>
      <c r="D2142" s="600"/>
      <c r="E2142" s="600"/>
      <c r="F2142" s="600"/>
      <c r="G2142" s="600"/>
      <c r="H2142" s="600"/>
      <c r="I2142" s="600"/>
    </row>
    <row r="2143" spans="1:9" s="135" customFormat="1" ht="20.25" customHeight="1">
      <c r="A2143" s="600" t="s">
        <v>1055</v>
      </c>
      <c r="B2143" s="600"/>
      <c r="C2143" s="600"/>
      <c r="D2143" s="600"/>
      <c r="E2143" s="600"/>
      <c r="F2143" s="600"/>
      <c r="G2143" s="600"/>
      <c r="H2143" s="600"/>
      <c r="I2143" s="600"/>
    </row>
    <row r="2144" spans="1:9" s="135" customFormat="1" ht="20.25" customHeight="1">
      <c r="A2144" s="503" t="s">
        <v>628</v>
      </c>
      <c r="B2144" s="503"/>
      <c r="C2144" s="503"/>
      <c r="D2144" s="503"/>
      <c r="E2144" s="503"/>
      <c r="F2144" s="503"/>
      <c r="G2144" s="503"/>
      <c r="H2144" s="503"/>
      <c r="I2144" s="503"/>
    </row>
    <row r="2145" spans="1:9" s="135" customFormat="1" ht="20.25" customHeight="1">
      <c r="A2145" s="486" t="s">
        <v>46</v>
      </c>
      <c r="B2145" s="486"/>
      <c r="C2145" s="486"/>
      <c r="D2145" s="486"/>
      <c r="E2145" s="486"/>
      <c r="F2145" s="486"/>
      <c r="G2145" s="486"/>
      <c r="H2145" s="486"/>
      <c r="I2145" s="486"/>
    </row>
    <row r="2146" spans="1:9" s="135" customFormat="1" ht="20.25" customHeight="1">
      <c r="A2146" s="486" t="s">
        <v>47</v>
      </c>
      <c r="B2146" s="486"/>
      <c r="C2146" s="486"/>
      <c r="D2146" s="486"/>
      <c r="E2146" s="486"/>
      <c r="F2146" s="486"/>
      <c r="G2146" s="486"/>
      <c r="H2146" s="486"/>
      <c r="I2146" s="486"/>
    </row>
    <row r="2147" spans="1:9" s="135" customFormat="1" ht="20.25" customHeight="1">
      <c r="A2147" s="486" t="s">
        <v>629</v>
      </c>
      <c r="B2147" s="486"/>
      <c r="C2147" s="486"/>
      <c r="D2147" s="486"/>
      <c r="E2147" s="486"/>
      <c r="F2147" s="486"/>
      <c r="G2147" s="486"/>
      <c r="H2147" s="486"/>
      <c r="I2147" s="486"/>
    </row>
    <row r="2148" spans="1:9" s="135" customFormat="1" ht="20.25" customHeight="1">
      <c r="A2148" s="273"/>
      <c r="E2148" s="273"/>
      <c r="F2148" s="273"/>
      <c r="G2148" s="273"/>
      <c r="H2148" s="273"/>
      <c r="I2148" s="273"/>
    </row>
    <row r="2149" spans="1:9" s="135" customFormat="1" ht="20.25" customHeight="1">
      <c r="A2149" s="273"/>
      <c r="B2149" s="281"/>
      <c r="C2149" s="281"/>
      <c r="D2149" s="281"/>
      <c r="E2149" s="273"/>
      <c r="F2149" s="273"/>
      <c r="G2149" s="273"/>
      <c r="H2149" s="273"/>
      <c r="I2149" s="273"/>
    </row>
    <row r="2150" spans="1:9" s="135" customFormat="1" ht="20.25" customHeight="1">
      <c r="A2150" s="273"/>
      <c r="B2150" s="273"/>
      <c r="C2150" s="273"/>
      <c r="D2150" s="273"/>
      <c r="E2150" s="273"/>
      <c r="F2150" s="273"/>
      <c r="G2150" s="273"/>
      <c r="H2150" s="273"/>
      <c r="I2150" s="273"/>
    </row>
    <row r="2151" spans="1:9" s="135" customFormat="1" ht="30" customHeight="1">
      <c r="A2151" s="273"/>
      <c r="B2151" s="605" t="s">
        <v>992</v>
      </c>
      <c r="C2151" s="605"/>
      <c r="D2151" s="605"/>
      <c r="E2151" s="273"/>
      <c r="F2151" s="273"/>
      <c r="G2151" s="273"/>
      <c r="H2151" s="273"/>
      <c r="I2151" s="273"/>
    </row>
    <row r="2152" spans="1:9" s="135" customFormat="1" ht="20.25" customHeight="1">
      <c r="A2152" s="273"/>
      <c r="F2152" s="273"/>
      <c r="G2152" s="273"/>
      <c r="H2152" s="273"/>
      <c r="I2152" s="273"/>
    </row>
    <row r="2153" spans="1:9" s="135" customFormat="1" ht="20.25" customHeight="1">
      <c r="A2153" s="273"/>
      <c r="B2153" s="273"/>
      <c r="C2153" s="273"/>
      <c r="D2153" s="273"/>
      <c r="E2153" s="273"/>
      <c r="F2153" s="273"/>
      <c r="G2153" s="273"/>
      <c r="H2153" s="273"/>
      <c r="I2153" s="273"/>
    </row>
    <row r="2154" spans="1:9" s="135" customFormat="1" ht="20.25" customHeight="1">
      <c r="A2154" s="273"/>
      <c r="B2154" s="273"/>
      <c r="C2154" s="273"/>
      <c r="D2154" s="273"/>
      <c r="E2154" s="273"/>
      <c r="F2154" s="273"/>
      <c r="G2154" s="273"/>
      <c r="H2154" s="273"/>
      <c r="I2154" s="273"/>
    </row>
    <row r="2155" spans="1:9" s="135" customFormat="1" ht="20.25" customHeight="1">
      <c r="A2155" s="273"/>
      <c r="B2155" s="273"/>
      <c r="C2155" s="273"/>
      <c r="D2155" s="273"/>
      <c r="E2155" s="273"/>
      <c r="F2155" s="273"/>
      <c r="G2155" s="273"/>
      <c r="H2155" s="273"/>
      <c r="I2155" s="273"/>
    </row>
    <row r="2156" spans="1:9" s="135" customFormat="1" ht="20.25" customHeight="1">
      <c r="A2156" s="273"/>
      <c r="B2156" s="273"/>
      <c r="C2156" s="273"/>
      <c r="D2156" s="273"/>
      <c r="E2156" s="273"/>
      <c r="F2156" s="273"/>
      <c r="G2156" s="273"/>
      <c r="H2156" s="273"/>
      <c r="I2156" s="273"/>
    </row>
    <row r="2157" spans="1:9" s="135" customFormat="1" ht="20.25" customHeight="1">
      <c r="A2157" s="273"/>
      <c r="F2157" s="273"/>
      <c r="G2157" s="273"/>
      <c r="H2157" s="273"/>
      <c r="I2157" s="273"/>
    </row>
    <row r="2158" spans="1:9" s="135" customFormat="1" ht="20.25" customHeight="1">
      <c r="A2158" s="273"/>
      <c r="B2158" s="273"/>
      <c r="C2158" s="273"/>
      <c r="D2158" s="273"/>
      <c r="E2158" s="273"/>
      <c r="F2158" s="273"/>
      <c r="G2158" s="273"/>
      <c r="H2158" s="273"/>
      <c r="I2158" s="273"/>
    </row>
    <row r="2159" spans="1:8" s="135" customFormat="1" ht="30" customHeight="1">
      <c r="A2159" s="273"/>
      <c r="B2159" s="605" t="s">
        <v>993</v>
      </c>
      <c r="C2159" s="605"/>
      <c r="D2159" s="605"/>
      <c r="E2159" s="605"/>
      <c r="F2159" s="273"/>
      <c r="G2159" s="273"/>
      <c r="H2159" s="273"/>
    </row>
    <row r="2160" spans="1:9" s="135" customFormat="1" ht="20.25" customHeight="1">
      <c r="A2160" s="273"/>
      <c r="B2160" s="273"/>
      <c r="C2160" s="273"/>
      <c r="D2160" s="273"/>
      <c r="E2160" s="273"/>
      <c r="F2160" s="273"/>
      <c r="G2160" s="273"/>
      <c r="H2160" s="273"/>
      <c r="I2160" s="273"/>
    </row>
    <row r="2161" spans="1:9" s="135" customFormat="1" ht="20.25" customHeight="1">
      <c r="A2161" s="273"/>
      <c r="B2161" s="273"/>
      <c r="C2161" s="273"/>
      <c r="D2161" s="273"/>
      <c r="E2161" s="273"/>
      <c r="F2161" s="273"/>
      <c r="G2161" s="273"/>
      <c r="H2161" s="273"/>
      <c r="I2161" s="273"/>
    </row>
    <row r="2162" spans="1:9" s="135" customFormat="1" ht="20.25" customHeight="1">
      <c r="A2162" s="273"/>
      <c r="B2162" s="273"/>
      <c r="C2162" s="273"/>
      <c r="D2162" s="273"/>
      <c r="E2162" s="273"/>
      <c r="F2162" s="273"/>
      <c r="G2162" s="273"/>
      <c r="H2162" s="273"/>
      <c r="I2162" s="273"/>
    </row>
    <row r="2163" spans="1:9" s="135" customFormat="1" ht="20.25" customHeight="1">
      <c r="A2163" s="273"/>
      <c r="B2163" s="273"/>
      <c r="C2163" s="273"/>
      <c r="D2163" s="273"/>
      <c r="E2163" s="273"/>
      <c r="F2163" s="273"/>
      <c r="G2163" s="273"/>
      <c r="H2163" s="273"/>
      <c r="I2163" s="273"/>
    </row>
    <row r="2164" spans="1:8" s="135" customFormat="1" ht="20.25" customHeight="1">
      <c r="A2164" s="273"/>
      <c r="B2164" s="273"/>
      <c r="C2164" s="273"/>
      <c r="D2164" s="273"/>
      <c r="E2164" s="273"/>
      <c r="F2164" s="273"/>
      <c r="G2164" s="273"/>
      <c r="H2164" s="273"/>
    </row>
    <row r="2165" spans="1:9" s="135" customFormat="1" ht="20.25" customHeight="1">
      <c r="A2165" s="273"/>
      <c r="B2165" s="273"/>
      <c r="C2165" s="273"/>
      <c r="D2165" s="273"/>
      <c r="E2165" s="273"/>
      <c r="F2165" s="273"/>
      <c r="G2165" s="273"/>
      <c r="H2165" s="273"/>
      <c r="I2165" s="209"/>
    </row>
    <row r="2166" spans="1:9" s="135" customFormat="1" ht="20.25" customHeight="1">
      <c r="A2166" s="273"/>
      <c r="B2166" s="273"/>
      <c r="C2166" s="273"/>
      <c r="D2166" s="273"/>
      <c r="E2166" s="273"/>
      <c r="F2166" s="273"/>
      <c r="G2166" s="273"/>
      <c r="H2166" s="273"/>
      <c r="I2166" s="209"/>
    </row>
    <row r="2167" spans="1:9" s="135" customFormat="1" ht="20.25" customHeight="1">
      <c r="A2167" s="273"/>
      <c r="B2167" s="273"/>
      <c r="C2167" s="273"/>
      <c r="D2167" s="273"/>
      <c r="E2167" s="273"/>
      <c r="F2167" s="273"/>
      <c r="G2167" s="273"/>
      <c r="H2167" s="273"/>
      <c r="I2167" s="209"/>
    </row>
    <row r="2168" spans="1:9" s="135" customFormat="1" ht="20.25" customHeight="1">
      <c r="A2168" s="273"/>
      <c r="B2168" s="273"/>
      <c r="C2168" s="273"/>
      <c r="D2168" s="273"/>
      <c r="E2168" s="273"/>
      <c r="F2168" s="273"/>
      <c r="G2168" s="273"/>
      <c r="H2168" s="273"/>
      <c r="I2168" s="441"/>
    </row>
    <row r="2169" spans="1:9" s="135" customFormat="1" ht="20.25" customHeight="1">
      <c r="A2169" s="273"/>
      <c r="B2169" s="273"/>
      <c r="C2169" s="273"/>
      <c r="D2169" s="273"/>
      <c r="E2169" s="273"/>
      <c r="F2169" s="273"/>
      <c r="G2169" s="273"/>
      <c r="H2169" s="273"/>
      <c r="I2169" s="441">
        <v>33</v>
      </c>
    </row>
    <row r="2170" spans="1:8" s="135" customFormat="1" ht="20.25" customHeight="1">
      <c r="A2170" s="273"/>
      <c r="B2170" s="273"/>
      <c r="C2170" s="273"/>
      <c r="D2170" s="273"/>
      <c r="E2170" s="273"/>
      <c r="F2170" s="273"/>
      <c r="G2170" s="273"/>
      <c r="H2170" s="273"/>
    </row>
    <row r="2171" spans="1:9" s="135" customFormat="1" ht="20.25" customHeight="1">
      <c r="A2171" s="273"/>
      <c r="E2171" s="273"/>
      <c r="F2171" s="273"/>
      <c r="G2171" s="273"/>
      <c r="H2171" s="273"/>
      <c r="I2171" s="209"/>
    </row>
    <row r="2172" spans="1:9" s="135" customFormat="1" ht="30" customHeight="1">
      <c r="A2172" s="278"/>
      <c r="B2172" s="608" t="s">
        <v>1056</v>
      </c>
      <c r="C2172" s="608"/>
      <c r="D2172" s="608"/>
      <c r="E2172" s="608"/>
      <c r="F2172" s="608"/>
      <c r="G2172" s="608"/>
      <c r="I2172" s="272"/>
    </row>
    <row r="2173" spans="1:9" s="135" customFormat="1" ht="20.25" customHeight="1">
      <c r="A2173" s="278"/>
      <c r="C2173" s="278"/>
      <c r="D2173" s="278"/>
      <c r="E2173" s="278"/>
      <c r="F2173" s="278"/>
      <c r="G2173" s="278"/>
      <c r="I2173" s="272"/>
    </row>
    <row r="2174" spans="1:9" s="135" customFormat="1" ht="20.25" customHeight="1">
      <c r="A2174" s="278"/>
      <c r="B2174" s="278"/>
      <c r="C2174" s="278"/>
      <c r="D2174" s="278"/>
      <c r="E2174" s="278"/>
      <c r="F2174" s="278"/>
      <c r="G2174" s="278"/>
      <c r="I2174" s="272"/>
    </row>
    <row r="2175" spans="1:9" s="135" customFormat="1" ht="20.25" customHeight="1">
      <c r="A2175" s="609" t="s">
        <v>1159</v>
      </c>
      <c r="B2175" s="609"/>
      <c r="C2175" s="609"/>
      <c r="D2175" s="609"/>
      <c r="E2175" s="609"/>
      <c r="F2175" s="609"/>
      <c r="G2175" s="609"/>
      <c r="H2175" s="609"/>
      <c r="I2175" s="609"/>
    </row>
    <row r="2176" spans="1:9" s="135" customFormat="1" ht="20.25" customHeight="1">
      <c r="A2176" s="609" t="s">
        <v>1160</v>
      </c>
      <c r="B2176" s="609"/>
      <c r="C2176" s="609"/>
      <c r="D2176" s="609"/>
      <c r="E2176" s="609"/>
      <c r="F2176" s="609"/>
      <c r="G2176" s="609"/>
      <c r="H2176" s="609"/>
      <c r="I2176" s="609"/>
    </row>
    <row r="2177" spans="1:9" s="135" customFormat="1" ht="20.25" customHeight="1">
      <c r="A2177" s="518" t="s">
        <v>793</v>
      </c>
      <c r="B2177" s="518"/>
      <c r="C2177" s="518"/>
      <c r="D2177" s="518"/>
      <c r="E2177" s="518"/>
      <c r="F2177" s="518"/>
      <c r="G2177" s="518"/>
      <c r="H2177" s="518"/>
      <c r="I2177" s="518"/>
    </row>
    <row r="2178" spans="1:9" s="135" customFormat="1" ht="20.25" customHeight="1">
      <c r="A2178" s="518" t="s">
        <v>1161</v>
      </c>
      <c r="B2178" s="518"/>
      <c r="C2178" s="518"/>
      <c r="D2178" s="518"/>
      <c r="E2178" s="518"/>
      <c r="F2178" s="518"/>
      <c r="G2178" s="518"/>
      <c r="H2178" s="518"/>
      <c r="I2178" s="518"/>
    </row>
    <row r="2179" spans="1:9" s="135" customFormat="1" ht="20.25" customHeight="1">
      <c r="A2179" s="191"/>
      <c r="B2179" s="518" t="s">
        <v>1073</v>
      </c>
      <c r="C2179" s="518"/>
      <c r="D2179" s="518"/>
      <c r="E2179" s="518"/>
      <c r="F2179" s="518"/>
      <c r="G2179" s="518"/>
      <c r="H2179" s="518"/>
      <c r="I2179" s="518"/>
    </row>
    <row r="2180" spans="1:9" s="135" customFormat="1" ht="12" customHeight="1">
      <c r="A2180" s="191"/>
      <c r="B2180" s="191"/>
      <c r="C2180" s="191"/>
      <c r="D2180" s="191"/>
      <c r="E2180" s="191"/>
      <c r="F2180" s="191"/>
      <c r="G2180" s="191"/>
      <c r="H2180" s="191"/>
      <c r="I2180" s="191"/>
    </row>
    <row r="2181" spans="1:8" s="135" customFormat="1" ht="20.25" customHeight="1">
      <c r="A2181" s="40"/>
      <c r="B2181" s="39"/>
      <c r="C2181"/>
      <c r="D2181" s="487" t="s">
        <v>682</v>
      </c>
      <c r="E2181" s="487"/>
      <c r="F2181" s="487"/>
      <c r="G2181" s="40"/>
      <c r="H2181" s="40"/>
    </row>
    <row r="2182" spans="1:8" s="135" customFormat="1" ht="10.5" customHeight="1">
      <c r="A2182" s="40"/>
      <c r="B2182" s="40"/>
      <c r="C2182" s="40"/>
      <c r="D2182" s="40"/>
      <c r="E2182" s="40"/>
      <c r="F2182" s="40"/>
      <c r="G2182" s="40"/>
      <c r="H2182" s="40"/>
    </row>
    <row r="2183" spans="1:9" s="135" customFormat="1" ht="20.25" customHeight="1">
      <c r="A2183" s="612" t="s">
        <v>683</v>
      </c>
      <c r="B2183" s="491" t="s">
        <v>688</v>
      </c>
      <c r="C2183" s="492"/>
      <c r="D2183" s="5" t="s">
        <v>686</v>
      </c>
      <c r="E2183" s="5" t="s">
        <v>712</v>
      </c>
      <c r="F2183" s="5" t="s">
        <v>686</v>
      </c>
      <c r="G2183" s="510" t="s">
        <v>713</v>
      </c>
      <c r="H2183" s="511"/>
      <c r="I2183" s="6" t="s">
        <v>714</v>
      </c>
    </row>
    <row r="2184" spans="1:9" s="135" customFormat="1" ht="20.25" customHeight="1">
      <c r="A2184" s="613"/>
      <c r="B2184" s="493"/>
      <c r="C2184" s="494"/>
      <c r="D2184" s="7" t="s">
        <v>656</v>
      </c>
      <c r="E2184" s="7" t="s">
        <v>715</v>
      </c>
      <c r="F2184" s="7" t="s">
        <v>657</v>
      </c>
      <c r="G2184" s="8" t="s">
        <v>706</v>
      </c>
      <c r="H2184" s="9" t="s">
        <v>707</v>
      </c>
      <c r="I2184" s="10" t="s">
        <v>717</v>
      </c>
    </row>
    <row r="2185" spans="1:9" s="135" customFormat="1" ht="20.25" customHeight="1">
      <c r="A2185" s="13">
        <v>1</v>
      </c>
      <c r="B2185" s="295">
        <v>2</v>
      </c>
      <c r="C2185" s="296"/>
      <c r="D2185" s="12">
        <v>3</v>
      </c>
      <c r="E2185" s="12">
        <v>4</v>
      </c>
      <c r="F2185" s="12">
        <v>5</v>
      </c>
      <c r="G2185" s="12">
        <v>6</v>
      </c>
      <c r="H2185" s="12">
        <v>7</v>
      </c>
      <c r="I2185" s="13">
        <v>8</v>
      </c>
    </row>
    <row r="2186" spans="1:9" s="135" customFormat="1" ht="20.25" customHeight="1">
      <c r="A2186" s="188">
        <v>50009</v>
      </c>
      <c r="B2186" s="610" t="s">
        <v>1058</v>
      </c>
      <c r="C2186" s="611"/>
      <c r="D2186" s="151">
        <v>202356.46</v>
      </c>
      <c r="E2186" s="290">
        <v>570000</v>
      </c>
      <c r="F2186" s="25">
        <v>219177.94</v>
      </c>
      <c r="G2186" s="15">
        <f>F2186/D2186</f>
        <v>1.0831279614201592</v>
      </c>
      <c r="H2186" s="16">
        <f>F2186/E2186</f>
        <v>0.38452270175438596</v>
      </c>
      <c r="I2186" s="16">
        <f>F2186/F2189</f>
        <v>0.94397593583832</v>
      </c>
    </row>
    <row r="2187" spans="1:9" s="135" customFormat="1" ht="20.25" customHeight="1">
      <c r="A2187" s="4">
        <v>50212</v>
      </c>
      <c r="B2187" s="610" t="s">
        <v>1059</v>
      </c>
      <c r="C2187" s="611"/>
      <c r="D2187" s="151">
        <v>3438.15</v>
      </c>
      <c r="E2187" s="290">
        <v>20000</v>
      </c>
      <c r="F2187" s="25">
        <v>11599</v>
      </c>
      <c r="G2187" s="15">
        <f>F2187/D2187</f>
        <v>3.373616625219958</v>
      </c>
      <c r="H2187" s="16">
        <f>F2187/E2187</f>
        <v>0.57995</v>
      </c>
      <c r="I2187" s="16">
        <f>F2187/F2189</f>
        <v>0.04995565192276501</v>
      </c>
    </row>
    <row r="2188" spans="1:9" s="135" customFormat="1" ht="20.25" customHeight="1">
      <c r="A2188" s="304">
        <v>50405</v>
      </c>
      <c r="B2188" s="610" t="s">
        <v>584</v>
      </c>
      <c r="C2188" s="611"/>
      <c r="D2188" s="151">
        <v>10326</v>
      </c>
      <c r="E2188" s="290">
        <v>50000</v>
      </c>
      <c r="F2188" s="14">
        <v>1409</v>
      </c>
      <c r="G2188" s="15">
        <f>F2188/D2188</f>
        <v>0.13645167538252953</v>
      </c>
      <c r="H2188" s="16">
        <f>F2188/E2188</f>
        <v>0.02818</v>
      </c>
      <c r="I2188" s="16">
        <f>F2188/F2189</f>
        <v>0.00606841223891507</v>
      </c>
    </row>
    <row r="2189" spans="1:9" s="135" customFormat="1" ht="30" customHeight="1">
      <c r="A2189" s="17"/>
      <c r="B2189" s="548" t="s">
        <v>919</v>
      </c>
      <c r="C2189" s="549"/>
      <c r="D2189" s="288">
        <f>D2186+D2188+D2187</f>
        <v>216120.61</v>
      </c>
      <c r="E2189" s="288">
        <f>E2186+E2188+E2187</f>
        <v>640000</v>
      </c>
      <c r="F2189" s="301">
        <f>F2186+F2188+F2187</f>
        <v>232185.94</v>
      </c>
      <c r="G2189" s="265">
        <f>F2189/D2189</f>
        <v>1.0743350206164974</v>
      </c>
      <c r="H2189" s="266">
        <f>F2189/E2189</f>
        <v>0.36279053125</v>
      </c>
      <c r="I2189" s="266">
        <f>SUM(I2186:I2188)</f>
        <v>1</v>
      </c>
    </row>
    <row r="2190" spans="1:9" s="135" customFormat="1" ht="20.25" customHeight="1">
      <c r="A2190" s="282"/>
      <c r="B2190" s="283"/>
      <c r="C2190" s="283"/>
      <c r="D2190" s="284"/>
      <c r="E2190" s="285"/>
      <c r="F2190" s="285"/>
      <c r="G2190" s="286"/>
      <c r="H2190" s="287"/>
      <c r="I2190" s="287"/>
    </row>
    <row r="2191" spans="1:9" s="135" customFormat="1" ht="20.25" customHeight="1">
      <c r="A2191" s="599" t="s">
        <v>1162</v>
      </c>
      <c r="B2191" s="599"/>
      <c r="C2191" s="599"/>
      <c r="D2191" s="599"/>
      <c r="E2191" s="599"/>
      <c r="F2191" s="599"/>
      <c r="G2191" s="599"/>
      <c r="H2191" s="599"/>
      <c r="I2191" s="599"/>
    </row>
    <row r="2192" spans="1:9" s="135" customFormat="1" ht="20.25" customHeight="1">
      <c r="A2192" s="599" t="s">
        <v>1163</v>
      </c>
      <c r="B2192" s="599"/>
      <c r="C2192" s="599"/>
      <c r="D2192" s="599"/>
      <c r="E2192" s="599"/>
      <c r="F2192" s="599"/>
      <c r="G2192" s="599"/>
      <c r="H2192" s="599"/>
      <c r="I2192" s="599"/>
    </row>
    <row r="2193" spans="1:9" s="135" customFormat="1" ht="20.25" customHeight="1">
      <c r="A2193" s="599" t="s">
        <v>1164</v>
      </c>
      <c r="B2193" s="599"/>
      <c r="C2193" s="599"/>
      <c r="D2193" s="599"/>
      <c r="E2193" s="599"/>
      <c r="F2193" s="599"/>
      <c r="G2193" s="599"/>
      <c r="H2193" s="599"/>
      <c r="I2193" s="599"/>
    </row>
    <row r="2194" spans="1:9" s="135" customFormat="1" ht="20.25" customHeight="1">
      <c r="A2194" s="599" t="s">
        <v>1165</v>
      </c>
      <c r="B2194" s="599"/>
      <c r="C2194" s="599"/>
      <c r="D2194" s="599"/>
      <c r="E2194" s="599"/>
      <c r="F2194" s="599"/>
      <c r="G2194" s="599"/>
      <c r="H2194" s="599"/>
      <c r="I2194" s="599"/>
    </row>
    <row r="2195" spans="1:9" s="135" customFormat="1" ht="20.25" customHeight="1">
      <c r="A2195" s="599" t="s">
        <v>1166</v>
      </c>
      <c r="B2195" s="599"/>
      <c r="C2195" s="599"/>
      <c r="D2195" s="599"/>
      <c r="E2195" s="599"/>
      <c r="F2195" s="599"/>
      <c r="G2195" s="599"/>
      <c r="H2195" s="599"/>
      <c r="I2195" s="599"/>
    </row>
    <row r="2196" spans="1:9" s="135" customFormat="1" ht="20.25" customHeight="1">
      <c r="A2196" s="599" t="s">
        <v>855</v>
      </c>
      <c r="B2196" s="599"/>
      <c r="C2196" s="599"/>
      <c r="D2196" s="599"/>
      <c r="E2196" s="599"/>
      <c r="F2196" s="599"/>
      <c r="G2196" s="599"/>
      <c r="H2196" s="599"/>
      <c r="I2196" s="599"/>
    </row>
    <row r="2197" spans="1:8" s="135" customFormat="1" ht="20.25" customHeight="1">
      <c r="A2197" s="40"/>
      <c r="B2197" s="40"/>
      <c r="C2197"/>
      <c r="D2197" s="607" t="s">
        <v>682</v>
      </c>
      <c r="E2197" s="607"/>
      <c r="F2197" s="607"/>
      <c r="G2197" s="40"/>
      <c r="H2197" s="40"/>
    </row>
    <row r="2198" spans="1:8" s="135" customFormat="1" ht="8.25" customHeight="1">
      <c r="A2198" s="40"/>
      <c r="B2198" s="40"/>
      <c r="C2198" s="40"/>
      <c r="D2198" s="40"/>
      <c r="E2198" s="40"/>
      <c r="F2198" s="40"/>
      <c r="G2198" s="40"/>
      <c r="H2198" s="40"/>
    </row>
    <row r="2199" spans="1:9" s="135" customFormat="1" ht="20.25" customHeight="1">
      <c r="A2199" s="22" t="s">
        <v>683</v>
      </c>
      <c r="B2199" s="491" t="s">
        <v>688</v>
      </c>
      <c r="C2199" s="492"/>
      <c r="D2199" s="5" t="s">
        <v>686</v>
      </c>
      <c r="E2199" s="5" t="s">
        <v>712</v>
      </c>
      <c r="F2199" s="5" t="s">
        <v>686</v>
      </c>
      <c r="G2199" s="510" t="s">
        <v>713</v>
      </c>
      <c r="H2199" s="511"/>
      <c r="I2199" s="6" t="s">
        <v>714</v>
      </c>
    </row>
    <row r="2200" spans="1:9" s="135" customFormat="1" ht="20.25" customHeight="1">
      <c r="A2200" s="23" t="s">
        <v>97</v>
      </c>
      <c r="B2200" s="493"/>
      <c r="C2200" s="494"/>
      <c r="D2200" s="7" t="s">
        <v>656</v>
      </c>
      <c r="E2200" s="7" t="s">
        <v>715</v>
      </c>
      <c r="F2200" s="7" t="s">
        <v>657</v>
      </c>
      <c r="G2200" s="8" t="s">
        <v>706</v>
      </c>
      <c r="H2200" s="9" t="s">
        <v>707</v>
      </c>
      <c r="I2200" s="10" t="s">
        <v>717</v>
      </c>
    </row>
    <row r="2201" spans="1:9" s="135" customFormat="1" ht="20.25" customHeight="1">
      <c r="A2201" s="13">
        <v>1</v>
      </c>
      <c r="B2201" s="535">
        <v>2</v>
      </c>
      <c r="C2201" s="536"/>
      <c r="D2201" s="12">
        <v>3</v>
      </c>
      <c r="E2201" s="12">
        <v>4</v>
      </c>
      <c r="F2201" s="12">
        <v>5</v>
      </c>
      <c r="G2201" s="12">
        <v>6</v>
      </c>
      <c r="H2201" s="12">
        <v>7</v>
      </c>
      <c r="I2201" s="13">
        <v>8</v>
      </c>
    </row>
    <row r="2202" spans="1:9" s="135" customFormat="1" ht="20.25" customHeight="1">
      <c r="A2202" s="4">
        <v>111</v>
      </c>
      <c r="B2202" s="504" t="s">
        <v>540</v>
      </c>
      <c r="C2202" s="505"/>
      <c r="D2202" s="25">
        <v>20577.78</v>
      </c>
      <c r="E2202" s="25">
        <v>55000</v>
      </c>
      <c r="F2202" s="25">
        <v>23965.76</v>
      </c>
      <c r="G2202" s="15">
        <f aca="true" t="shared" si="94" ref="G2202:G2207">F2202/D2202</f>
        <v>1.1646426388074904</v>
      </c>
      <c r="H2202" s="16">
        <f aca="true" t="shared" si="95" ref="H2202:H2207">F2202/E2202</f>
        <v>0.43574109090909086</v>
      </c>
      <c r="I2202" s="16">
        <f>F2202/F2207</f>
        <v>0.24567136477109514</v>
      </c>
    </row>
    <row r="2203" spans="1:9" s="135" customFormat="1" ht="20.25" customHeight="1">
      <c r="A2203" s="4">
        <v>130</v>
      </c>
      <c r="B2203" s="504" t="s">
        <v>541</v>
      </c>
      <c r="C2203" s="505"/>
      <c r="D2203" s="234">
        <v>5056.86</v>
      </c>
      <c r="E2203" s="14">
        <v>16000</v>
      </c>
      <c r="F2203" s="14">
        <v>16116.35</v>
      </c>
      <c r="G2203" s="15">
        <f t="shared" si="94"/>
        <v>3.187027127506002</v>
      </c>
      <c r="H2203" s="16">
        <f t="shared" si="95"/>
        <v>1.007271875</v>
      </c>
      <c r="I2203" s="16">
        <f>F2203/F2207</f>
        <v>0.16520760032766077</v>
      </c>
    </row>
    <row r="2204" spans="1:9" s="135" customFormat="1" ht="20.25" customHeight="1">
      <c r="A2204" s="4">
        <v>132</v>
      </c>
      <c r="B2204" s="504" t="s">
        <v>542</v>
      </c>
      <c r="C2204" s="505"/>
      <c r="D2204" s="238">
        <v>0</v>
      </c>
      <c r="E2204" s="25">
        <v>0</v>
      </c>
      <c r="F2204" s="25">
        <v>0</v>
      </c>
      <c r="G2204" s="15" t="e">
        <f t="shared" si="94"/>
        <v>#DIV/0!</v>
      </c>
      <c r="H2204" s="16" t="e">
        <f t="shared" si="95"/>
        <v>#DIV/0!</v>
      </c>
      <c r="I2204" s="16">
        <f>F2204/F2207</f>
        <v>0</v>
      </c>
    </row>
    <row r="2205" spans="1:9" s="135" customFormat="1" ht="20.25" customHeight="1">
      <c r="A2205" s="4">
        <v>200</v>
      </c>
      <c r="B2205" s="504" t="s">
        <v>543</v>
      </c>
      <c r="C2205" s="505"/>
      <c r="D2205" s="54">
        <v>0</v>
      </c>
      <c r="E2205" s="25">
        <v>0</v>
      </c>
      <c r="F2205" s="25">
        <v>0</v>
      </c>
      <c r="G2205" s="15" t="e">
        <f t="shared" si="94"/>
        <v>#DIV/0!</v>
      </c>
      <c r="H2205" s="16" t="e">
        <f t="shared" si="95"/>
        <v>#DIV/0!</v>
      </c>
      <c r="I2205" s="16">
        <f>F2205/F2207</f>
        <v>0</v>
      </c>
    </row>
    <row r="2206" spans="1:9" s="135" customFormat="1" ht="20.25" customHeight="1">
      <c r="A2206" s="4">
        <v>300</v>
      </c>
      <c r="B2206" s="504" t="s">
        <v>544</v>
      </c>
      <c r="C2206" s="505"/>
      <c r="D2206" s="25">
        <v>0</v>
      </c>
      <c r="E2206" s="25">
        <v>150000</v>
      </c>
      <c r="F2206" s="25">
        <v>57470</v>
      </c>
      <c r="G2206" s="15" t="e">
        <f t="shared" si="94"/>
        <v>#DIV/0!</v>
      </c>
      <c r="H2206" s="16">
        <f t="shared" si="95"/>
        <v>0.3831333333333333</v>
      </c>
      <c r="I2206" s="16">
        <f>F2206/F2207</f>
        <v>0.589121034901244</v>
      </c>
    </row>
    <row r="2207" spans="1:9" s="135" customFormat="1" ht="30" customHeight="1">
      <c r="A2207" s="17"/>
      <c r="B2207" s="548" t="s">
        <v>95</v>
      </c>
      <c r="C2207" s="549"/>
      <c r="D2207" s="288">
        <f>D2202+D2203+D2204+D2205+D2206</f>
        <v>25634.64</v>
      </c>
      <c r="E2207" s="211">
        <f>E2202+E2203+E2204+E2205+E2206</f>
        <v>221000</v>
      </c>
      <c r="F2207" s="211">
        <f>F2202+F2203+F2204+F2205+F2206</f>
        <v>97552.11</v>
      </c>
      <c r="G2207" s="265">
        <f t="shared" si="94"/>
        <v>3.8054800067408787</v>
      </c>
      <c r="H2207" s="266">
        <f t="shared" si="95"/>
        <v>0.4414122624434389</v>
      </c>
      <c r="I2207" s="266">
        <f>SUM(I2202:I2206)</f>
        <v>0.9999999999999999</v>
      </c>
    </row>
    <row r="2208" spans="1:8" s="135" customFormat="1" ht="20.25" customHeight="1">
      <c r="A2208" s="49"/>
      <c r="B2208" s="49"/>
      <c r="C2208" s="49"/>
      <c r="D2208" s="49"/>
      <c r="E2208" s="208"/>
      <c r="F2208" s="49"/>
      <c r="G2208" s="49"/>
      <c r="H2208" s="40"/>
    </row>
    <row r="2209" spans="1:9" s="135" customFormat="1" ht="20.25" customHeight="1">
      <c r="A2209" s="299"/>
      <c r="B2209" s="600" t="s">
        <v>630</v>
      </c>
      <c r="C2209" s="600"/>
      <c r="D2209" s="600"/>
      <c r="E2209" s="600"/>
      <c r="F2209" s="600"/>
      <c r="G2209" s="600"/>
      <c r="H2209" s="600"/>
      <c r="I2209" s="600"/>
    </row>
    <row r="2210" spans="1:9" s="135" customFormat="1" ht="20.25" customHeight="1">
      <c r="A2210" s="600" t="s">
        <v>1167</v>
      </c>
      <c r="B2210" s="600"/>
      <c r="C2210" s="600"/>
      <c r="D2210" s="600"/>
      <c r="E2210" s="600"/>
      <c r="F2210" s="600"/>
      <c r="G2210" s="600"/>
      <c r="H2210" s="600"/>
      <c r="I2210" s="600"/>
    </row>
    <row r="2211" spans="1:9" s="135" customFormat="1" ht="20.25" customHeight="1">
      <c r="A2211" s="600" t="s">
        <v>1168</v>
      </c>
      <c r="B2211" s="600"/>
      <c r="C2211" s="600"/>
      <c r="D2211" s="600"/>
      <c r="E2211" s="600"/>
      <c r="F2211" s="600"/>
      <c r="G2211" s="600"/>
      <c r="H2211" s="600"/>
      <c r="I2211" s="600"/>
    </row>
    <row r="2212" spans="1:9" s="135" customFormat="1" ht="20.25" customHeight="1">
      <c r="A2212" s="503" t="s">
        <v>1169</v>
      </c>
      <c r="B2212" s="503"/>
      <c r="C2212" s="503"/>
      <c r="D2212" s="503"/>
      <c r="E2212" s="503"/>
      <c r="F2212" s="503"/>
      <c r="G2212" s="503"/>
      <c r="H2212" s="503"/>
      <c r="I2212" s="503"/>
    </row>
    <row r="2213" spans="1:9" s="135" customFormat="1" ht="20.25" customHeight="1">
      <c r="A2213" s="486" t="s">
        <v>1170</v>
      </c>
      <c r="B2213" s="486"/>
      <c r="C2213" s="486"/>
      <c r="D2213" s="486"/>
      <c r="E2213" s="486"/>
      <c r="F2213" s="486"/>
      <c r="G2213" s="486"/>
      <c r="H2213" s="486"/>
      <c r="I2213" s="486"/>
    </row>
    <row r="2214" spans="1:9" s="135" customFormat="1" ht="20.25" customHeight="1">
      <c r="A2214" s="486" t="s">
        <v>1171</v>
      </c>
      <c r="B2214" s="486"/>
      <c r="C2214" s="486"/>
      <c r="D2214" s="486"/>
      <c r="E2214" s="486"/>
      <c r="F2214" s="486"/>
      <c r="G2214" s="486"/>
      <c r="H2214" s="486"/>
      <c r="I2214" s="486"/>
    </row>
    <row r="2215" spans="1:9" s="135" customFormat="1" ht="20.25" customHeight="1">
      <c r="A2215" s="486" t="s">
        <v>1172</v>
      </c>
      <c r="B2215" s="486"/>
      <c r="C2215" s="486"/>
      <c r="D2215" s="486"/>
      <c r="E2215" s="486"/>
      <c r="F2215" s="486"/>
      <c r="G2215" s="486"/>
      <c r="H2215" s="486"/>
      <c r="I2215" s="486"/>
    </row>
    <row r="2216" spans="1:9" s="135" customFormat="1" ht="20.25" customHeight="1">
      <c r="A2216" s="486" t="s">
        <v>1173</v>
      </c>
      <c r="B2216" s="486"/>
      <c r="C2216" s="486"/>
      <c r="D2216" s="486"/>
      <c r="E2216" s="486"/>
      <c r="F2216" s="486"/>
      <c r="G2216" s="486"/>
      <c r="H2216" s="486"/>
      <c r="I2216" s="486"/>
    </row>
    <row r="2217" spans="1:9" s="135" customFormat="1" ht="20.25" customHeight="1">
      <c r="A2217" s="518" t="s">
        <v>1174</v>
      </c>
      <c r="B2217" s="518"/>
      <c r="C2217" s="518"/>
      <c r="D2217" s="518"/>
      <c r="E2217" s="518"/>
      <c r="F2217" s="518"/>
      <c r="G2217" s="518"/>
      <c r="H2217" s="518"/>
      <c r="I2217" s="518"/>
    </row>
    <row r="2218" spans="1:8" s="135" customFormat="1" ht="30" customHeight="1">
      <c r="A2218" s="273"/>
      <c r="E2218" s="273"/>
      <c r="F2218" s="273"/>
      <c r="G2218" s="273"/>
      <c r="H2218" s="273"/>
    </row>
    <row r="2219" spans="1:8" s="135" customFormat="1" ht="26.25" customHeight="1">
      <c r="A2219" s="273"/>
      <c r="B2219" s="605" t="s">
        <v>992</v>
      </c>
      <c r="C2219" s="605"/>
      <c r="D2219" s="605"/>
      <c r="E2219" s="273"/>
      <c r="F2219" s="273"/>
      <c r="G2219" s="273"/>
      <c r="H2219" s="273"/>
    </row>
    <row r="2220" spans="1:8" s="135" customFormat="1" ht="20.25" customHeight="1">
      <c r="A2220" s="273"/>
      <c r="B2220" s="273"/>
      <c r="C2220" s="273"/>
      <c r="D2220" s="273"/>
      <c r="E2220" s="273"/>
      <c r="F2220" s="273"/>
      <c r="G2220" s="273"/>
      <c r="H2220" s="273"/>
    </row>
    <row r="2221" spans="1:8" s="135" customFormat="1" ht="20.25" customHeight="1">
      <c r="A2221" s="273"/>
      <c r="B2221" s="273"/>
      <c r="C2221" s="273"/>
      <c r="D2221" s="273"/>
      <c r="E2221" s="273"/>
      <c r="F2221" s="273"/>
      <c r="G2221" s="273"/>
      <c r="H2221" s="273"/>
    </row>
    <row r="2222" spans="1:8" s="135" customFormat="1" ht="20.25" customHeight="1">
      <c r="A2222" s="273"/>
      <c r="B2222" s="273"/>
      <c r="C2222" s="273"/>
      <c r="D2222" s="273"/>
      <c r="E2222" s="273"/>
      <c r="F2222" s="273"/>
      <c r="G2222" s="273"/>
      <c r="H2222" s="273"/>
    </row>
    <row r="2223" spans="1:8" s="135" customFormat="1" ht="30" customHeight="1">
      <c r="A2223" s="273"/>
      <c r="B2223" s="605" t="s">
        <v>993</v>
      </c>
      <c r="C2223" s="605"/>
      <c r="D2223" s="605"/>
      <c r="E2223" s="605"/>
      <c r="F2223" s="273"/>
      <c r="G2223" s="273"/>
      <c r="H2223" s="273"/>
    </row>
    <row r="2224" spans="1:9" s="135" customFormat="1" ht="20.25" customHeight="1">
      <c r="A2224" s="273"/>
      <c r="E2224" s="273"/>
      <c r="F2224" s="273"/>
      <c r="G2224" s="273"/>
      <c r="H2224" s="273"/>
      <c r="I2224" s="273"/>
    </row>
    <row r="2225" spans="1:8" s="135" customFormat="1" ht="20.25" customHeight="1">
      <c r="A2225" s="273"/>
      <c r="B2225" s="281"/>
      <c r="C2225" s="281"/>
      <c r="D2225" s="281"/>
      <c r="E2225" s="273"/>
      <c r="F2225" s="273"/>
      <c r="G2225" s="273"/>
      <c r="H2225" s="273"/>
    </row>
    <row r="2226" spans="1:8" s="135" customFormat="1" ht="20.25" customHeight="1">
      <c r="A2226" s="273"/>
      <c r="B2226" s="281"/>
      <c r="C2226" s="281"/>
      <c r="D2226" s="281"/>
      <c r="E2226" s="273"/>
      <c r="F2226" s="273"/>
      <c r="G2226" s="273"/>
      <c r="H2226" s="273"/>
    </row>
    <row r="2227" spans="1:9" s="135" customFormat="1" ht="20.25" customHeight="1">
      <c r="A2227" s="273"/>
      <c r="B2227" s="281"/>
      <c r="C2227" s="281"/>
      <c r="D2227" s="281"/>
      <c r="E2227" s="273"/>
      <c r="F2227" s="273"/>
      <c r="G2227" s="273"/>
      <c r="H2227" s="273"/>
      <c r="I2227" s="272"/>
    </row>
    <row r="2228" spans="1:9" s="135" customFormat="1" ht="20.25" customHeight="1">
      <c r="A2228" s="273"/>
      <c r="B2228" s="281"/>
      <c r="C2228" s="281"/>
      <c r="D2228" s="281"/>
      <c r="E2228" s="273"/>
      <c r="F2228" s="273"/>
      <c r="G2228" s="273"/>
      <c r="H2228" s="273"/>
      <c r="I2228" s="272"/>
    </row>
    <row r="2229" spans="1:9" s="135" customFormat="1" ht="20.25" customHeight="1">
      <c r="A2229" s="273"/>
      <c r="B2229" s="281"/>
      <c r="C2229" s="281"/>
      <c r="D2229" s="281"/>
      <c r="E2229" s="273"/>
      <c r="F2229" s="273"/>
      <c r="G2229" s="273"/>
      <c r="H2229" s="273"/>
      <c r="I2229" s="272"/>
    </row>
    <row r="2230" spans="1:9" s="135" customFormat="1" ht="20.25" customHeight="1">
      <c r="A2230" s="273"/>
      <c r="B2230" s="281"/>
      <c r="C2230" s="281"/>
      <c r="D2230" s="281"/>
      <c r="E2230" s="273"/>
      <c r="F2230" s="273"/>
      <c r="G2230" s="273"/>
      <c r="H2230" s="273"/>
      <c r="I2230" s="273"/>
    </row>
    <row r="2231" spans="1:9" s="135" customFormat="1" ht="20.25" customHeight="1">
      <c r="A2231" s="273"/>
      <c r="B2231" s="273"/>
      <c r="C2231" s="273"/>
      <c r="D2231" s="273"/>
      <c r="E2231" s="273"/>
      <c r="F2231" s="273"/>
      <c r="G2231" s="273"/>
      <c r="H2231" s="273"/>
      <c r="I2231" s="430"/>
    </row>
    <row r="2232" spans="1:9" s="135" customFormat="1" ht="20.25" customHeight="1">
      <c r="A2232" s="273"/>
      <c r="B2232" s="273"/>
      <c r="C2232" s="273"/>
      <c r="D2232" s="273"/>
      <c r="E2232" s="273"/>
      <c r="F2232" s="273"/>
      <c r="G2232" s="273"/>
      <c r="H2232" s="273"/>
      <c r="I2232" s="443">
        <v>34</v>
      </c>
    </row>
    <row r="2233" spans="1:9" s="135" customFormat="1" ht="20.25" customHeight="1">
      <c r="A2233" s="273"/>
      <c r="B2233" s="273"/>
      <c r="C2233" s="273"/>
      <c r="D2233" s="273"/>
      <c r="E2233" s="273"/>
      <c r="F2233" s="273"/>
      <c r="G2233" s="273"/>
      <c r="H2233" s="273"/>
      <c r="I2233" s="272"/>
    </row>
    <row r="2234" spans="1:9" s="135" customFormat="1" ht="20.25" customHeight="1">
      <c r="A2234" s="273"/>
      <c r="F2234" s="273"/>
      <c r="G2234" s="273"/>
      <c r="H2234" s="273"/>
      <c r="I2234" s="273"/>
    </row>
    <row r="2235" spans="1:9" s="135" customFormat="1" ht="20.25" customHeight="1">
      <c r="A2235" s="273"/>
      <c r="B2235" s="273"/>
      <c r="C2235" s="273"/>
      <c r="D2235" s="273"/>
      <c r="E2235" s="273"/>
      <c r="F2235" s="273"/>
      <c r="G2235" s="273"/>
      <c r="H2235" s="273"/>
      <c r="I2235" s="273"/>
    </row>
    <row r="2236" spans="1:9" s="135" customFormat="1" ht="30" customHeight="1">
      <c r="A2236" s="278"/>
      <c r="B2236" s="608" t="s">
        <v>1060</v>
      </c>
      <c r="C2236" s="608"/>
      <c r="D2236" s="608"/>
      <c r="E2236" s="608"/>
      <c r="F2236" s="608"/>
      <c r="G2236" s="608"/>
      <c r="I2236" s="272"/>
    </row>
    <row r="2237" spans="1:9" s="135" customFormat="1" ht="30" customHeight="1">
      <c r="A2237" s="278"/>
      <c r="B2237" s="278"/>
      <c r="C2237" s="278"/>
      <c r="D2237" s="278"/>
      <c r="E2237" s="278"/>
      <c r="F2237" s="278"/>
      <c r="G2237" s="278"/>
      <c r="I2237" s="272"/>
    </row>
    <row r="2238" spans="1:9" s="135" customFormat="1" ht="20.25" customHeight="1">
      <c r="A2238" s="278"/>
      <c r="B2238" s="278"/>
      <c r="C2238" s="278"/>
      <c r="D2238" s="278"/>
      <c r="E2238" s="278"/>
      <c r="F2238" s="278"/>
      <c r="G2238" s="278"/>
      <c r="I2238" s="272"/>
    </row>
    <row r="2239" spans="1:9" s="135" customFormat="1" ht="20.25" customHeight="1">
      <c r="A2239" s="278"/>
      <c r="B2239" s="278"/>
      <c r="C2239" s="278"/>
      <c r="D2239" s="278"/>
      <c r="E2239" s="278"/>
      <c r="F2239" s="278"/>
      <c r="G2239" s="278"/>
      <c r="I2239" s="272"/>
    </row>
    <row r="2240" spans="1:9" s="135" customFormat="1" ht="20.25" customHeight="1">
      <c r="A2240" s="278"/>
      <c r="B2240" s="278"/>
      <c r="C2240" s="278"/>
      <c r="D2240" s="278"/>
      <c r="E2240" s="278"/>
      <c r="F2240" s="278"/>
      <c r="G2240" s="278"/>
      <c r="I2240" s="272"/>
    </row>
    <row r="2241" spans="1:9" s="135" customFormat="1" ht="20.25" customHeight="1">
      <c r="A2241" s="599" t="s">
        <v>1175</v>
      </c>
      <c r="B2241" s="599"/>
      <c r="C2241" s="599"/>
      <c r="D2241" s="599"/>
      <c r="E2241" s="599"/>
      <c r="F2241" s="599"/>
      <c r="G2241" s="599"/>
      <c r="H2241" s="599"/>
      <c r="I2241" s="599"/>
    </row>
    <row r="2242" spans="1:9" s="135" customFormat="1" ht="20.25" customHeight="1">
      <c r="A2242" s="600" t="s">
        <v>1176</v>
      </c>
      <c r="B2242" s="600"/>
      <c r="C2242" s="600"/>
      <c r="D2242" s="600"/>
      <c r="E2242" s="600"/>
      <c r="F2242" s="600"/>
      <c r="G2242" s="600"/>
      <c r="H2242" s="600"/>
      <c r="I2242" s="600"/>
    </row>
    <row r="2243" spans="1:9" s="135" customFormat="1" ht="20.25" customHeight="1">
      <c r="A2243" s="99"/>
      <c r="B2243" s="99"/>
      <c r="C2243" s="99"/>
      <c r="D2243" s="99"/>
      <c r="E2243" s="99"/>
      <c r="F2243" s="99"/>
      <c r="G2243" s="99"/>
      <c r="H2243" s="99"/>
      <c r="I2243" s="99"/>
    </row>
    <row r="2244" spans="1:8" s="135" customFormat="1" ht="20.25" customHeight="1">
      <c r="A2244" s="40"/>
      <c r="B2244" s="40"/>
      <c r="C2244"/>
      <c r="D2244" s="607" t="s">
        <v>682</v>
      </c>
      <c r="E2244" s="607"/>
      <c r="F2244" s="607"/>
      <c r="G2244" s="40"/>
      <c r="H2244" s="40"/>
    </row>
    <row r="2245" spans="1:8" s="135" customFormat="1" ht="20.25" customHeight="1">
      <c r="A2245" s="40"/>
      <c r="B2245" s="40"/>
      <c r="C2245" s="40"/>
      <c r="D2245" s="40"/>
      <c r="E2245" s="40"/>
      <c r="F2245" s="40"/>
      <c r="G2245" s="40"/>
      <c r="H2245" s="40"/>
    </row>
    <row r="2246" spans="1:9" s="135" customFormat="1" ht="20.25" customHeight="1">
      <c r="A2246" s="22" t="s">
        <v>683</v>
      </c>
      <c r="B2246" s="491" t="s">
        <v>688</v>
      </c>
      <c r="C2246" s="492"/>
      <c r="D2246" s="5" t="s">
        <v>686</v>
      </c>
      <c r="E2246" s="5" t="s">
        <v>712</v>
      </c>
      <c r="F2246" s="5" t="s">
        <v>686</v>
      </c>
      <c r="G2246" s="510" t="s">
        <v>713</v>
      </c>
      <c r="H2246" s="511"/>
      <c r="I2246" s="6" t="s">
        <v>714</v>
      </c>
    </row>
    <row r="2247" spans="1:9" s="135" customFormat="1" ht="20.25" customHeight="1">
      <c r="A2247" s="23" t="s">
        <v>97</v>
      </c>
      <c r="B2247" s="493"/>
      <c r="C2247" s="494"/>
      <c r="D2247" s="7" t="s">
        <v>656</v>
      </c>
      <c r="E2247" s="7" t="s">
        <v>715</v>
      </c>
      <c r="F2247" s="7" t="s">
        <v>657</v>
      </c>
      <c r="G2247" s="8" t="s">
        <v>706</v>
      </c>
      <c r="H2247" s="9" t="s">
        <v>707</v>
      </c>
      <c r="I2247" s="10" t="s">
        <v>717</v>
      </c>
    </row>
    <row r="2248" spans="1:9" s="135" customFormat="1" ht="20.25" customHeight="1">
      <c r="A2248" s="13">
        <v>1</v>
      </c>
      <c r="B2248" s="535">
        <v>2</v>
      </c>
      <c r="C2248" s="536"/>
      <c r="D2248" s="12">
        <v>3</v>
      </c>
      <c r="E2248" s="12">
        <v>4</v>
      </c>
      <c r="F2248" s="12">
        <v>5</v>
      </c>
      <c r="G2248" s="12">
        <v>6</v>
      </c>
      <c r="H2248" s="12">
        <v>7</v>
      </c>
      <c r="I2248" s="13">
        <v>8</v>
      </c>
    </row>
    <row r="2249" spans="1:9" s="135" customFormat="1" ht="20.25" customHeight="1">
      <c r="A2249" s="4">
        <v>111</v>
      </c>
      <c r="B2249" s="504" t="s">
        <v>540</v>
      </c>
      <c r="C2249" s="505"/>
      <c r="D2249" s="25">
        <v>8848.96</v>
      </c>
      <c r="E2249" s="25">
        <v>30328</v>
      </c>
      <c r="F2249" s="25">
        <v>10400.85</v>
      </c>
      <c r="G2249" s="15">
        <f aca="true" t="shared" si="96" ref="G2249:G2254">F2249/D2249</f>
        <v>1.1753754113477743</v>
      </c>
      <c r="H2249" s="16">
        <f aca="true" t="shared" si="97" ref="H2249:H2254">F2249/E2249</f>
        <v>0.34294546293853867</v>
      </c>
      <c r="I2249" s="16">
        <f>F2249/F2254</f>
        <v>0.670332786584128</v>
      </c>
    </row>
    <row r="2250" spans="1:9" s="135" customFormat="1" ht="20.25" customHeight="1">
      <c r="A2250" s="4">
        <v>130</v>
      </c>
      <c r="B2250" s="504" t="s">
        <v>541</v>
      </c>
      <c r="C2250" s="505"/>
      <c r="D2250" s="234">
        <v>500</v>
      </c>
      <c r="E2250" s="14">
        <v>10000</v>
      </c>
      <c r="F2250" s="14">
        <v>5115.1</v>
      </c>
      <c r="G2250" s="15">
        <f t="shared" si="96"/>
        <v>10.2302</v>
      </c>
      <c r="H2250" s="16">
        <f t="shared" si="97"/>
        <v>0.51151</v>
      </c>
      <c r="I2250" s="16">
        <f>F2250/F2254</f>
        <v>0.3296672134158721</v>
      </c>
    </row>
    <row r="2251" spans="1:9" s="135" customFormat="1" ht="20.25" customHeight="1">
      <c r="A2251" s="4">
        <v>132</v>
      </c>
      <c r="B2251" s="504" t="s">
        <v>542</v>
      </c>
      <c r="C2251" s="505"/>
      <c r="D2251" s="238">
        <v>0</v>
      </c>
      <c r="E2251" s="25">
        <v>840</v>
      </c>
      <c r="F2251" s="25">
        <v>0</v>
      </c>
      <c r="G2251" s="15" t="e">
        <f t="shared" si="96"/>
        <v>#DIV/0!</v>
      </c>
      <c r="H2251" s="16">
        <f t="shared" si="97"/>
        <v>0</v>
      </c>
      <c r="I2251" s="16">
        <f>F2251/F2254</f>
        <v>0</v>
      </c>
    </row>
    <row r="2252" spans="1:9" s="135" customFormat="1" ht="20.25" customHeight="1">
      <c r="A2252" s="4">
        <v>200</v>
      </c>
      <c r="B2252" s="504" t="s">
        <v>543</v>
      </c>
      <c r="C2252" s="505"/>
      <c r="D2252" s="54">
        <v>0</v>
      </c>
      <c r="E2252" s="25">
        <v>0</v>
      </c>
      <c r="F2252" s="25">
        <v>0</v>
      </c>
      <c r="G2252" s="15" t="e">
        <f t="shared" si="96"/>
        <v>#DIV/0!</v>
      </c>
      <c r="H2252" s="16" t="e">
        <f t="shared" si="97"/>
        <v>#DIV/0!</v>
      </c>
      <c r="I2252" s="16">
        <f>F2252/F2254</f>
        <v>0</v>
      </c>
    </row>
    <row r="2253" spans="1:9" s="135" customFormat="1" ht="20.25" customHeight="1">
      <c r="A2253" s="4">
        <v>300</v>
      </c>
      <c r="B2253" s="504" t="s">
        <v>544</v>
      </c>
      <c r="C2253" s="505"/>
      <c r="D2253" s="25">
        <v>0</v>
      </c>
      <c r="E2253" s="25">
        <v>0</v>
      </c>
      <c r="F2253" s="25">
        <v>0</v>
      </c>
      <c r="G2253" s="15" t="e">
        <f t="shared" si="96"/>
        <v>#DIV/0!</v>
      </c>
      <c r="H2253" s="16" t="e">
        <f t="shared" si="97"/>
        <v>#DIV/0!</v>
      </c>
      <c r="I2253" s="16">
        <f>F2253/F2254</f>
        <v>0</v>
      </c>
    </row>
    <row r="2254" spans="1:9" s="135" customFormat="1" ht="33" customHeight="1">
      <c r="A2254" s="17"/>
      <c r="B2254" s="548" t="s">
        <v>95</v>
      </c>
      <c r="C2254" s="549"/>
      <c r="D2254" s="288">
        <f>D2249+D2250+D2251+D2252+D2253</f>
        <v>9348.96</v>
      </c>
      <c r="E2254" s="211">
        <f>E2249+E2250+E2251+E2252+E2253</f>
        <v>41168</v>
      </c>
      <c r="F2254" s="211">
        <f>F2249+F2250+F2251+F2252+F2253</f>
        <v>15515.95</v>
      </c>
      <c r="G2254" s="265">
        <f t="shared" si="96"/>
        <v>1.6596444952165805</v>
      </c>
      <c r="H2254" s="266">
        <f t="shared" si="97"/>
        <v>0.37689346094053633</v>
      </c>
      <c r="I2254" s="266">
        <f>SUM(I2249:I2253)</f>
        <v>1</v>
      </c>
    </row>
    <row r="2255" spans="1:8" s="135" customFormat="1" ht="20.25" customHeight="1">
      <c r="A2255" s="49"/>
      <c r="B2255" s="49"/>
      <c r="C2255" s="49"/>
      <c r="D2255" s="49"/>
      <c r="E2255" s="208"/>
      <c r="F2255" s="49"/>
      <c r="G2255" s="49"/>
      <c r="H2255" s="40"/>
    </row>
    <row r="2256" spans="1:9" s="135" customFormat="1" ht="20.25" customHeight="1">
      <c r="A2256" s="503" t="s">
        <v>1177</v>
      </c>
      <c r="B2256" s="503"/>
      <c r="C2256" s="503"/>
      <c r="D2256" s="503"/>
      <c r="E2256" s="503"/>
      <c r="F2256" s="503"/>
      <c r="G2256" s="503"/>
      <c r="H2256" s="503"/>
      <c r="I2256" s="503"/>
    </row>
    <row r="2257" spans="1:9" s="135" customFormat="1" ht="20.25" customHeight="1">
      <c r="A2257" s="486" t="s">
        <v>631</v>
      </c>
      <c r="B2257" s="486"/>
      <c r="C2257" s="486"/>
      <c r="D2257" s="486"/>
      <c r="E2257" s="486"/>
      <c r="F2257" s="486"/>
      <c r="G2257" s="486"/>
      <c r="H2257" s="486"/>
      <c r="I2257" s="486"/>
    </row>
    <row r="2258" spans="1:9" s="135" customFormat="1" ht="20.25" customHeight="1">
      <c r="A2258" s="486" t="s">
        <v>1178</v>
      </c>
      <c r="B2258" s="486"/>
      <c r="C2258" s="486"/>
      <c r="D2258" s="486"/>
      <c r="E2258" s="486"/>
      <c r="F2258" s="486"/>
      <c r="G2258" s="486"/>
      <c r="H2258" s="486"/>
      <c r="I2258" s="486"/>
    </row>
    <row r="2259" spans="1:9" s="135" customFormat="1" ht="20.25" customHeight="1">
      <c r="A2259" s="486" t="s">
        <v>1179</v>
      </c>
      <c r="B2259" s="486"/>
      <c r="C2259" s="486"/>
      <c r="D2259" s="486"/>
      <c r="E2259" s="486"/>
      <c r="F2259" s="486"/>
      <c r="G2259" s="486"/>
      <c r="H2259" s="486"/>
      <c r="I2259" s="486"/>
    </row>
    <row r="2260" spans="1:9" s="135" customFormat="1" ht="20.25" customHeight="1">
      <c r="A2260" s="486" t="s">
        <v>1180</v>
      </c>
      <c r="B2260" s="486"/>
      <c r="C2260" s="486"/>
      <c r="D2260" s="486"/>
      <c r="E2260" s="486"/>
      <c r="F2260" s="486"/>
      <c r="G2260" s="486"/>
      <c r="H2260" s="486"/>
      <c r="I2260" s="486"/>
    </row>
    <row r="2261" spans="1:9" s="135" customFormat="1" ht="20.25" customHeight="1">
      <c r="A2261" s="39"/>
      <c r="B2261" s="39"/>
      <c r="C2261" s="39"/>
      <c r="D2261" s="39"/>
      <c r="E2261" s="39"/>
      <c r="F2261" s="39"/>
      <c r="G2261" s="39"/>
      <c r="H2261" s="39"/>
      <c r="I2261" s="39"/>
    </row>
    <row r="2262" spans="1:9" s="135" customFormat="1" ht="20.25" customHeight="1">
      <c r="A2262" s="39"/>
      <c r="B2262" s="39"/>
      <c r="C2262" s="39"/>
      <c r="D2262" s="39"/>
      <c r="E2262" s="39"/>
      <c r="F2262" s="39"/>
      <c r="G2262" s="39"/>
      <c r="H2262" s="39"/>
      <c r="I2262" s="39"/>
    </row>
    <row r="2263" spans="1:9" s="135" customFormat="1" ht="20.25" customHeight="1">
      <c r="A2263" s="39"/>
      <c r="B2263" s="39"/>
      <c r="C2263" s="39"/>
      <c r="D2263" s="39"/>
      <c r="E2263" s="39"/>
      <c r="F2263" s="39"/>
      <c r="G2263" s="39"/>
      <c r="H2263" s="39"/>
      <c r="I2263" s="39"/>
    </row>
    <row r="2264" spans="1:9" s="135" customFormat="1" ht="20.25" customHeight="1">
      <c r="A2264" s="273"/>
      <c r="B2264" s="273"/>
      <c r="C2264" s="273"/>
      <c r="D2264" s="273"/>
      <c r="E2264" s="273"/>
      <c r="F2264" s="273"/>
      <c r="G2264" s="273"/>
      <c r="H2264" s="273"/>
      <c r="I2264" s="273"/>
    </row>
    <row r="2265" spans="1:9" s="135" customFormat="1" ht="20.25" customHeight="1">
      <c r="A2265" s="273"/>
      <c r="B2265" s="273"/>
      <c r="C2265" s="273"/>
      <c r="D2265" s="273"/>
      <c r="E2265" s="273"/>
      <c r="F2265" s="273"/>
      <c r="G2265" s="273"/>
      <c r="H2265" s="273"/>
      <c r="I2265" s="273"/>
    </row>
    <row r="2266" spans="1:9" s="135" customFormat="1" ht="30" customHeight="1">
      <c r="A2266" s="273"/>
      <c r="B2266" s="605" t="s">
        <v>992</v>
      </c>
      <c r="C2266" s="605"/>
      <c r="D2266" s="605"/>
      <c r="E2266" s="273"/>
      <c r="F2266" s="273"/>
      <c r="G2266" s="273"/>
      <c r="H2266" s="273"/>
      <c r="I2266" s="273"/>
    </row>
    <row r="2267" spans="1:9" s="135" customFormat="1" ht="20.25" customHeight="1">
      <c r="A2267" s="273"/>
      <c r="B2267" s="297"/>
      <c r="C2267" s="297"/>
      <c r="D2267" s="297"/>
      <c r="E2267" s="273"/>
      <c r="F2267" s="273"/>
      <c r="G2267" s="273"/>
      <c r="H2267" s="273"/>
      <c r="I2267" s="273"/>
    </row>
    <row r="2268" spans="1:9" s="135" customFormat="1" ht="20.25" customHeight="1">
      <c r="A2268" s="273"/>
      <c r="B2268" s="297"/>
      <c r="C2268" s="297"/>
      <c r="D2268" s="297"/>
      <c r="E2268" s="273"/>
      <c r="F2268" s="273"/>
      <c r="G2268" s="273"/>
      <c r="H2268" s="273"/>
      <c r="I2268" s="273"/>
    </row>
    <row r="2269" spans="1:9" s="135" customFormat="1" ht="20.25" customHeight="1">
      <c r="A2269" s="273"/>
      <c r="B2269" s="297"/>
      <c r="C2269" s="297"/>
      <c r="D2269" s="297"/>
      <c r="E2269" s="273"/>
      <c r="F2269" s="273"/>
      <c r="G2269" s="273"/>
      <c r="H2269" s="273"/>
      <c r="I2269" s="273"/>
    </row>
    <row r="2270" spans="1:9" s="135" customFormat="1" ht="20.25" customHeight="1">
      <c r="A2270" s="273"/>
      <c r="B2270" s="297"/>
      <c r="C2270" s="297"/>
      <c r="D2270" s="297"/>
      <c r="E2270" s="273"/>
      <c r="F2270" s="273"/>
      <c r="G2270" s="273"/>
      <c r="H2270" s="273"/>
      <c r="I2270" s="273"/>
    </row>
    <row r="2271" spans="1:9" s="135" customFormat="1" ht="20.25" customHeight="1">
      <c r="A2271" s="273"/>
      <c r="B2271" s="297"/>
      <c r="C2271" s="297"/>
      <c r="D2271" s="297"/>
      <c r="E2271" s="273"/>
      <c r="F2271" s="273"/>
      <c r="G2271" s="273"/>
      <c r="H2271" s="273"/>
      <c r="I2271" s="273"/>
    </row>
    <row r="2272" spans="1:9" s="135" customFormat="1" ht="20.25" customHeight="1">
      <c r="A2272" s="273"/>
      <c r="B2272" s="297"/>
      <c r="C2272" s="297"/>
      <c r="D2272" s="297"/>
      <c r="E2272" s="273"/>
      <c r="F2272" s="273"/>
      <c r="G2272" s="273"/>
      <c r="H2272" s="273"/>
      <c r="I2272" s="273"/>
    </row>
    <row r="2273" spans="1:9" s="135" customFormat="1" ht="20.25" customHeight="1">
      <c r="A2273" s="273"/>
      <c r="B2273" s="297"/>
      <c r="C2273" s="297"/>
      <c r="D2273" s="297"/>
      <c r="E2273" s="273"/>
      <c r="F2273" s="273"/>
      <c r="G2273" s="273"/>
      <c r="H2273" s="273"/>
      <c r="I2273" s="273"/>
    </row>
    <row r="2274" spans="1:9" s="135" customFormat="1" ht="20.25" customHeight="1">
      <c r="A2274" s="273"/>
      <c r="B2274" s="297"/>
      <c r="C2274" s="297"/>
      <c r="D2274" s="297"/>
      <c r="E2274" s="273"/>
      <c r="F2274" s="273"/>
      <c r="G2274" s="273"/>
      <c r="H2274" s="273"/>
      <c r="I2274" s="273"/>
    </row>
    <row r="2275" spans="1:9" s="135" customFormat="1" ht="20.25" customHeight="1">
      <c r="A2275" s="273"/>
      <c r="F2275" s="273"/>
      <c r="G2275" s="273"/>
      <c r="H2275" s="273"/>
      <c r="I2275" s="273"/>
    </row>
    <row r="2276" spans="1:9" s="135" customFormat="1" ht="20.25" customHeight="1">
      <c r="A2276" s="273"/>
      <c r="B2276" s="273"/>
      <c r="C2276" s="273"/>
      <c r="D2276" s="273"/>
      <c r="E2276" s="273"/>
      <c r="F2276" s="273"/>
      <c r="G2276" s="273"/>
      <c r="H2276" s="273"/>
      <c r="I2276" s="273"/>
    </row>
    <row r="2277" spans="1:9" s="135" customFormat="1" ht="20.25" customHeight="1">
      <c r="A2277" s="273"/>
      <c r="B2277" s="273"/>
      <c r="C2277" s="273"/>
      <c r="D2277" s="273"/>
      <c r="E2277" s="273"/>
      <c r="F2277" s="273"/>
      <c r="G2277" s="273"/>
      <c r="H2277" s="273"/>
      <c r="I2277" s="273"/>
    </row>
    <row r="2278" spans="1:9" s="135" customFormat="1" ht="20.25" customHeight="1">
      <c r="A2278" s="273"/>
      <c r="B2278" s="273"/>
      <c r="C2278" s="273"/>
      <c r="D2278" s="273"/>
      <c r="E2278" s="273"/>
      <c r="F2278" s="273"/>
      <c r="G2278" s="273"/>
      <c r="H2278" s="273"/>
      <c r="I2278" s="273"/>
    </row>
    <row r="2279" spans="1:9" s="135" customFormat="1" ht="30" customHeight="1">
      <c r="A2279" s="273"/>
      <c r="B2279" s="605" t="s">
        <v>993</v>
      </c>
      <c r="C2279" s="605"/>
      <c r="D2279" s="605"/>
      <c r="E2279" s="605"/>
      <c r="F2279" s="273"/>
      <c r="G2279" s="273"/>
      <c r="H2279" s="273"/>
      <c r="I2279" s="273"/>
    </row>
    <row r="2280" spans="1:9" s="135" customFormat="1" ht="20.25" customHeight="1">
      <c r="A2280" s="273"/>
      <c r="B2280" s="273"/>
      <c r="C2280" s="273"/>
      <c r="D2280" s="273"/>
      <c r="E2280" s="273"/>
      <c r="F2280" s="273"/>
      <c r="G2280" s="273"/>
      <c r="H2280" s="273"/>
      <c r="I2280" s="273"/>
    </row>
    <row r="2281" spans="1:9" s="135" customFormat="1" ht="20.25" customHeight="1">
      <c r="A2281" s="273"/>
      <c r="B2281" s="273"/>
      <c r="C2281" s="273"/>
      <c r="D2281" s="273"/>
      <c r="E2281" s="273"/>
      <c r="F2281" s="273"/>
      <c r="G2281" s="273"/>
      <c r="H2281" s="273"/>
      <c r="I2281" s="273"/>
    </row>
    <row r="2282" spans="1:9" s="135" customFormat="1" ht="20.25" customHeight="1">
      <c r="A2282" s="273"/>
      <c r="F2282" s="273"/>
      <c r="G2282" s="273"/>
      <c r="H2282" s="273"/>
      <c r="I2282" s="273"/>
    </row>
    <row r="2283" spans="1:9" s="135" customFormat="1" ht="20.25" customHeight="1">
      <c r="A2283" s="273"/>
      <c r="B2283" s="273"/>
      <c r="C2283" s="273"/>
      <c r="D2283" s="273"/>
      <c r="E2283" s="273"/>
      <c r="F2283" s="273"/>
      <c r="G2283" s="273"/>
      <c r="H2283" s="273"/>
      <c r="I2283" s="273"/>
    </row>
    <row r="2284" spans="1:9" s="135" customFormat="1" ht="20.25" customHeight="1">
      <c r="A2284" s="273"/>
      <c r="B2284" s="273"/>
      <c r="C2284" s="273"/>
      <c r="D2284" s="273"/>
      <c r="E2284" s="273"/>
      <c r="F2284" s="273"/>
      <c r="G2284" s="273"/>
      <c r="H2284" s="273"/>
      <c r="I2284" s="273"/>
    </row>
    <row r="2285" spans="1:9" s="135" customFormat="1" ht="20.25" customHeight="1">
      <c r="A2285" s="273"/>
      <c r="B2285" s="273"/>
      <c r="C2285" s="273"/>
      <c r="D2285" s="273"/>
      <c r="E2285" s="273"/>
      <c r="F2285" s="273"/>
      <c r="G2285" s="273"/>
      <c r="H2285" s="273"/>
      <c r="I2285" s="273"/>
    </row>
    <row r="2286" spans="1:9" s="135" customFormat="1" ht="20.25" customHeight="1">
      <c r="A2286" s="273"/>
      <c r="B2286" s="273"/>
      <c r="C2286" s="273"/>
      <c r="D2286" s="273"/>
      <c r="E2286" s="273"/>
      <c r="F2286" s="273"/>
      <c r="G2286" s="273"/>
      <c r="H2286" s="273"/>
      <c r="I2286" s="273"/>
    </row>
    <row r="2287" spans="1:9" s="135" customFormat="1" ht="20.25" customHeight="1">
      <c r="A2287" s="273"/>
      <c r="B2287" s="273"/>
      <c r="C2287" s="273"/>
      <c r="D2287" s="273"/>
      <c r="E2287" s="273"/>
      <c r="F2287" s="273"/>
      <c r="G2287" s="273"/>
      <c r="H2287" s="273"/>
      <c r="I2287" s="273"/>
    </row>
    <row r="2288" spans="1:9" s="135" customFormat="1" ht="20.25" customHeight="1">
      <c r="A2288" s="273"/>
      <c r="B2288" s="273"/>
      <c r="C2288" s="273"/>
      <c r="D2288" s="273"/>
      <c r="E2288" s="273"/>
      <c r="F2288" s="273"/>
      <c r="G2288" s="273"/>
      <c r="H2288" s="273"/>
      <c r="I2288" s="273"/>
    </row>
    <row r="2289" spans="1:9" s="135" customFormat="1" ht="20.25" customHeight="1">
      <c r="A2289" s="273"/>
      <c r="B2289" s="273"/>
      <c r="C2289" s="273"/>
      <c r="D2289" s="273"/>
      <c r="E2289" s="273"/>
      <c r="F2289" s="273"/>
      <c r="G2289" s="273"/>
      <c r="H2289" s="273"/>
      <c r="I2289" s="273"/>
    </row>
    <row r="2290" spans="1:9" s="135" customFormat="1" ht="20.25" customHeight="1">
      <c r="A2290" s="273"/>
      <c r="B2290" s="273"/>
      <c r="C2290" s="273"/>
      <c r="D2290" s="273"/>
      <c r="E2290" s="273"/>
      <c r="F2290" s="273"/>
      <c r="G2290" s="273"/>
      <c r="H2290" s="273"/>
      <c r="I2290" s="273"/>
    </row>
    <row r="2291" spans="1:9" s="135" customFormat="1" ht="20.25" customHeight="1">
      <c r="A2291" s="273"/>
      <c r="B2291" s="273"/>
      <c r="C2291" s="273"/>
      <c r="D2291" s="273"/>
      <c r="E2291" s="273"/>
      <c r="F2291" s="273"/>
      <c r="G2291" s="273"/>
      <c r="H2291" s="273"/>
      <c r="I2291" s="272"/>
    </row>
    <row r="2292" spans="1:9" s="135" customFormat="1" ht="20.25" customHeight="1">
      <c r="A2292" s="273"/>
      <c r="B2292" s="273"/>
      <c r="C2292" s="273"/>
      <c r="D2292" s="273"/>
      <c r="E2292" s="273"/>
      <c r="F2292" s="273"/>
      <c r="G2292" s="273"/>
      <c r="H2292" s="273"/>
      <c r="I2292" s="430"/>
    </row>
    <row r="2293" spans="1:9" s="135" customFormat="1" ht="20.25" customHeight="1">
      <c r="A2293" s="273"/>
      <c r="B2293" s="273"/>
      <c r="C2293" s="273"/>
      <c r="D2293" s="273"/>
      <c r="E2293" s="273"/>
      <c r="F2293" s="273"/>
      <c r="G2293" s="273"/>
      <c r="H2293" s="273"/>
      <c r="I2293" s="430">
        <v>35</v>
      </c>
    </row>
    <row r="2294" spans="1:9" s="135" customFormat="1" ht="20.25" customHeight="1">
      <c r="A2294" s="273"/>
      <c r="B2294" s="273"/>
      <c r="C2294" s="273"/>
      <c r="D2294" s="273"/>
      <c r="E2294" s="273"/>
      <c r="F2294" s="273"/>
      <c r="G2294" s="273"/>
      <c r="H2294" s="273"/>
      <c r="I2294" s="430"/>
    </row>
    <row r="2295" spans="1:9" s="135" customFormat="1" ht="20.25" customHeight="1">
      <c r="A2295" s="273"/>
      <c r="B2295" s="273"/>
      <c r="C2295" s="273"/>
      <c r="D2295" s="273"/>
      <c r="E2295" s="273"/>
      <c r="F2295" s="273"/>
      <c r="G2295" s="273"/>
      <c r="H2295" s="273"/>
      <c r="I2295" s="273"/>
    </row>
    <row r="2296" spans="1:9" s="135" customFormat="1" ht="20.25" customHeight="1">
      <c r="A2296" s="273"/>
      <c r="E2296" s="273"/>
      <c r="F2296" s="273"/>
      <c r="G2296" s="273"/>
      <c r="H2296" s="273"/>
      <c r="I2296" s="209"/>
    </row>
    <row r="2297" spans="1:9" s="135" customFormat="1" ht="30" customHeight="1">
      <c r="A2297" s="278"/>
      <c r="B2297" s="608" t="s">
        <v>1061</v>
      </c>
      <c r="C2297" s="608"/>
      <c r="D2297" s="608"/>
      <c r="E2297" s="608"/>
      <c r="F2297" s="608"/>
      <c r="G2297" s="608"/>
      <c r="H2297" s="608"/>
      <c r="I2297" s="272"/>
    </row>
    <row r="2298" spans="1:9" s="135" customFormat="1" ht="20.25" customHeight="1">
      <c r="A2298" s="278"/>
      <c r="B2298" s="278"/>
      <c r="C2298" s="278"/>
      <c r="D2298" s="278"/>
      <c r="E2298" s="278"/>
      <c r="F2298" s="278"/>
      <c r="G2298" s="278"/>
      <c r="H2298" s="278"/>
      <c r="I2298" s="272"/>
    </row>
    <row r="2299" spans="1:9" s="135" customFormat="1" ht="20.25" customHeight="1">
      <c r="A2299" s="278"/>
      <c r="B2299" s="278"/>
      <c r="C2299" s="278"/>
      <c r="D2299" s="278"/>
      <c r="E2299" s="278"/>
      <c r="F2299" s="278"/>
      <c r="G2299" s="278"/>
      <c r="H2299" s="278"/>
      <c r="I2299" s="272"/>
    </row>
    <row r="2300" spans="1:9" s="135" customFormat="1" ht="20.25" customHeight="1">
      <c r="A2300" s="609" t="s">
        <v>1181</v>
      </c>
      <c r="B2300" s="609"/>
      <c r="C2300" s="609"/>
      <c r="D2300" s="609"/>
      <c r="E2300" s="609"/>
      <c r="F2300" s="609"/>
      <c r="G2300" s="609"/>
      <c r="H2300" s="609"/>
      <c r="I2300" s="609"/>
    </row>
    <row r="2301" spans="1:9" s="135" customFormat="1" ht="20.25" customHeight="1">
      <c r="A2301" s="609" t="s">
        <v>281</v>
      </c>
      <c r="B2301" s="609"/>
      <c r="C2301" s="609"/>
      <c r="D2301" s="609"/>
      <c r="E2301" s="609"/>
      <c r="F2301" s="609"/>
      <c r="G2301" s="609"/>
      <c r="H2301" s="609"/>
      <c r="I2301" s="609"/>
    </row>
    <row r="2302" spans="1:8" s="135" customFormat="1" ht="20.25" customHeight="1">
      <c r="A2302" s="40"/>
      <c r="B2302" s="39"/>
      <c r="C2302"/>
      <c r="D2302" s="487" t="s">
        <v>682</v>
      </c>
      <c r="E2302" s="487"/>
      <c r="F2302" s="487"/>
      <c r="G2302" s="40"/>
      <c r="H2302" s="40"/>
    </row>
    <row r="2303" spans="1:8" s="135" customFormat="1" ht="20.25" customHeight="1">
      <c r="A2303" s="40"/>
      <c r="B2303" s="40"/>
      <c r="C2303" s="40"/>
      <c r="D2303" s="40"/>
      <c r="E2303" s="40"/>
      <c r="F2303" s="40"/>
      <c r="G2303" s="40"/>
      <c r="H2303" s="40"/>
    </row>
    <row r="2304" spans="1:9" s="135" customFormat="1" ht="20.25" customHeight="1">
      <c r="A2304" s="612" t="s">
        <v>683</v>
      </c>
      <c r="B2304" s="491" t="s">
        <v>688</v>
      </c>
      <c r="C2304" s="492"/>
      <c r="D2304" s="5" t="s">
        <v>686</v>
      </c>
      <c r="E2304" s="5" t="s">
        <v>712</v>
      </c>
      <c r="F2304" s="5" t="s">
        <v>686</v>
      </c>
      <c r="G2304" s="510" t="s">
        <v>713</v>
      </c>
      <c r="H2304" s="511"/>
      <c r="I2304" s="6" t="s">
        <v>714</v>
      </c>
    </row>
    <row r="2305" spans="1:9" s="135" customFormat="1" ht="20.25" customHeight="1">
      <c r="A2305" s="613"/>
      <c r="B2305" s="493"/>
      <c r="C2305" s="494"/>
      <c r="D2305" s="7" t="s">
        <v>656</v>
      </c>
      <c r="E2305" s="7" t="s">
        <v>715</v>
      </c>
      <c r="F2305" s="7" t="s">
        <v>657</v>
      </c>
      <c r="G2305" s="8" t="s">
        <v>706</v>
      </c>
      <c r="H2305" s="9" t="s">
        <v>707</v>
      </c>
      <c r="I2305" s="10" t="s">
        <v>717</v>
      </c>
    </row>
    <row r="2306" spans="1:9" s="135" customFormat="1" ht="20.25" customHeight="1">
      <c r="A2306" s="13">
        <v>1</v>
      </c>
      <c r="B2306" s="535">
        <v>2</v>
      </c>
      <c r="C2306" s="536"/>
      <c r="D2306" s="12">
        <v>3</v>
      </c>
      <c r="E2306" s="12">
        <v>4</v>
      </c>
      <c r="F2306" s="12">
        <v>5</v>
      </c>
      <c r="G2306" s="12">
        <v>6</v>
      </c>
      <c r="H2306" s="12">
        <v>7</v>
      </c>
      <c r="I2306" s="13">
        <v>8</v>
      </c>
    </row>
    <row r="2307" spans="1:9" s="135" customFormat="1" ht="20.25" customHeight="1">
      <c r="A2307" s="304">
        <v>50019</v>
      </c>
      <c r="B2307" s="610" t="s">
        <v>207</v>
      </c>
      <c r="C2307" s="611"/>
      <c r="D2307" s="151">
        <v>0</v>
      </c>
      <c r="E2307" s="290">
        <v>0</v>
      </c>
      <c r="F2307" s="14">
        <v>0</v>
      </c>
      <c r="G2307" s="15" t="e">
        <f>F2307/D2307</f>
        <v>#DIV/0!</v>
      </c>
      <c r="H2307" s="16" t="e">
        <f>F2307/E2307</f>
        <v>#DIV/0!</v>
      </c>
      <c r="I2307" s="16">
        <f>F2307/F2308</f>
        <v>0</v>
      </c>
    </row>
    <row r="2308" spans="1:9" s="135" customFormat="1" ht="20.25" customHeight="1">
      <c r="A2308" s="304">
        <v>50409</v>
      </c>
      <c r="B2308" s="610" t="s">
        <v>486</v>
      </c>
      <c r="C2308" s="611"/>
      <c r="D2308" s="151">
        <v>31815</v>
      </c>
      <c r="E2308" s="290">
        <v>75000</v>
      </c>
      <c r="F2308" s="14">
        <v>52034.9</v>
      </c>
      <c r="G2308" s="15">
        <f>F2308/D2308</f>
        <v>1.6355461260411757</v>
      </c>
      <c r="H2308" s="16">
        <f>F2308/E2308</f>
        <v>0.6937986666666667</v>
      </c>
      <c r="I2308" s="16">
        <f>F2308/F2309</f>
        <v>1</v>
      </c>
    </row>
    <row r="2309" spans="1:9" s="135" customFormat="1" ht="30" customHeight="1">
      <c r="A2309" s="17"/>
      <c r="B2309" s="548" t="s">
        <v>919</v>
      </c>
      <c r="C2309" s="549"/>
      <c r="D2309" s="288">
        <f>D2307+D2308</f>
        <v>31815</v>
      </c>
      <c r="E2309" s="288">
        <f>E2307+E2308</f>
        <v>75000</v>
      </c>
      <c r="F2309" s="288">
        <f>F2307+F2308</f>
        <v>52034.9</v>
      </c>
      <c r="G2309" s="265">
        <f>F2309/D2309</f>
        <v>1.6355461260411757</v>
      </c>
      <c r="H2309" s="266">
        <f>F2309/E2309</f>
        <v>0.6937986666666667</v>
      </c>
      <c r="I2309" s="213">
        <f>SUM(I2307:I2308)</f>
        <v>1</v>
      </c>
    </row>
    <row r="2310" spans="1:9" s="135" customFormat="1" ht="20.25" customHeight="1">
      <c r="A2310" s="282"/>
      <c r="B2310" s="283"/>
      <c r="C2310" s="283"/>
      <c r="D2310" s="284"/>
      <c r="E2310" s="285"/>
      <c r="F2310" s="285"/>
      <c r="G2310" s="286"/>
      <c r="H2310" s="287"/>
      <c r="I2310" s="287"/>
    </row>
    <row r="2311" spans="1:9" s="135" customFormat="1" ht="20.25" customHeight="1">
      <c r="A2311" s="599" t="s">
        <v>337</v>
      </c>
      <c r="B2311" s="599"/>
      <c r="C2311" s="599"/>
      <c r="D2311" s="599"/>
      <c r="E2311" s="599"/>
      <c r="F2311" s="599"/>
      <c r="G2311" s="599"/>
      <c r="H2311" s="599"/>
      <c r="I2311" s="599"/>
    </row>
    <row r="2312" spans="1:9" s="135" customFormat="1" ht="20.25" customHeight="1">
      <c r="A2312" s="599" t="s">
        <v>980</v>
      </c>
      <c r="B2312" s="599"/>
      <c r="C2312" s="599"/>
      <c r="D2312" s="599"/>
      <c r="E2312" s="599"/>
      <c r="F2312" s="599"/>
      <c r="G2312" s="599"/>
      <c r="H2312" s="599"/>
      <c r="I2312" s="599"/>
    </row>
    <row r="2313" spans="1:6" s="135" customFormat="1" ht="20.25" customHeight="1">
      <c r="A2313" s="282"/>
      <c r="F2313"/>
    </row>
    <row r="2314" spans="1:8" s="135" customFormat="1" ht="20.25" customHeight="1">
      <c r="A2314" s="40"/>
      <c r="B2314" s="40"/>
      <c r="C2314"/>
      <c r="D2314" s="607" t="s">
        <v>682</v>
      </c>
      <c r="E2314" s="607"/>
      <c r="F2314" s="607"/>
      <c r="G2314" s="40"/>
      <c r="H2314" s="40"/>
    </row>
    <row r="2315" spans="1:8" s="135" customFormat="1" ht="20.25" customHeight="1">
      <c r="A2315" s="40"/>
      <c r="B2315" s="40"/>
      <c r="C2315" s="40"/>
      <c r="D2315" s="40"/>
      <c r="E2315" s="40"/>
      <c r="F2315" s="40"/>
      <c r="G2315" s="40"/>
      <c r="H2315" s="40"/>
    </row>
    <row r="2316" spans="1:9" s="135" customFormat="1" ht="20.25" customHeight="1">
      <c r="A2316" s="22" t="s">
        <v>683</v>
      </c>
      <c r="B2316" s="491" t="s">
        <v>688</v>
      </c>
      <c r="C2316" s="492"/>
      <c r="D2316" s="5" t="s">
        <v>686</v>
      </c>
      <c r="E2316" s="5" t="s">
        <v>712</v>
      </c>
      <c r="F2316" s="5" t="s">
        <v>686</v>
      </c>
      <c r="G2316" s="510" t="s">
        <v>713</v>
      </c>
      <c r="H2316" s="511"/>
      <c r="I2316" s="6" t="s">
        <v>714</v>
      </c>
    </row>
    <row r="2317" spans="1:9" s="135" customFormat="1" ht="20.25" customHeight="1">
      <c r="A2317" s="23" t="s">
        <v>97</v>
      </c>
      <c r="B2317" s="493"/>
      <c r="C2317" s="494"/>
      <c r="D2317" s="7" t="s">
        <v>656</v>
      </c>
      <c r="E2317" s="7" t="s">
        <v>715</v>
      </c>
      <c r="F2317" s="7" t="s">
        <v>657</v>
      </c>
      <c r="G2317" s="8" t="s">
        <v>706</v>
      </c>
      <c r="H2317" s="9" t="s">
        <v>707</v>
      </c>
      <c r="I2317" s="10" t="s">
        <v>717</v>
      </c>
    </row>
    <row r="2318" spans="1:9" s="135" customFormat="1" ht="20.25" customHeight="1">
      <c r="A2318" s="13">
        <v>1</v>
      </c>
      <c r="B2318" s="535">
        <v>2</v>
      </c>
      <c r="C2318" s="536"/>
      <c r="D2318" s="12">
        <v>3</v>
      </c>
      <c r="E2318" s="12">
        <v>4</v>
      </c>
      <c r="F2318" s="12">
        <v>5</v>
      </c>
      <c r="G2318" s="12">
        <v>6</v>
      </c>
      <c r="H2318" s="12">
        <v>7</v>
      </c>
      <c r="I2318" s="13">
        <v>8</v>
      </c>
    </row>
    <row r="2319" spans="1:9" s="135" customFormat="1" ht="20.25" customHeight="1">
      <c r="A2319" s="4">
        <v>111</v>
      </c>
      <c r="B2319" s="504" t="s">
        <v>540</v>
      </c>
      <c r="C2319" s="505"/>
      <c r="D2319" s="25">
        <v>689748.57</v>
      </c>
      <c r="E2319" s="25">
        <v>1769253</v>
      </c>
      <c r="F2319" s="25">
        <v>740358.51</v>
      </c>
      <c r="G2319" s="15">
        <f aca="true" t="shared" si="98" ref="G2319:G2324">F2319/D2319</f>
        <v>1.0733744761515056</v>
      </c>
      <c r="H2319" s="16">
        <f aca="true" t="shared" si="99" ref="H2319:H2324">F2319/E2319</f>
        <v>0.41845824763332323</v>
      </c>
      <c r="I2319" s="16">
        <f>F2319/F2324</f>
        <v>0.6703079507903377</v>
      </c>
    </row>
    <row r="2320" spans="1:9" s="135" customFormat="1" ht="20.25" customHeight="1">
      <c r="A2320" s="4">
        <v>130</v>
      </c>
      <c r="B2320" s="504" t="s">
        <v>541</v>
      </c>
      <c r="C2320" s="505"/>
      <c r="D2320" s="234">
        <v>143571.82</v>
      </c>
      <c r="E2320" s="14">
        <v>379422</v>
      </c>
      <c r="F2320" s="14">
        <v>309606.4</v>
      </c>
      <c r="G2320" s="15">
        <f t="shared" si="98"/>
        <v>2.156456608267556</v>
      </c>
      <c r="H2320" s="16">
        <f t="shared" si="99"/>
        <v>0.8159948553325849</v>
      </c>
      <c r="I2320" s="16">
        <f>F2320/F2324</f>
        <v>0.28031234696765167</v>
      </c>
    </row>
    <row r="2321" spans="1:9" s="135" customFormat="1" ht="20.25" customHeight="1">
      <c r="A2321" s="4">
        <v>132</v>
      </c>
      <c r="B2321" s="504" t="s">
        <v>542</v>
      </c>
      <c r="C2321" s="505"/>
      <c r="D2321" s="238">
        <v>65381.85</v>
      </c>
      <c r="E2321" s="25">
        <v>99660</v>
      </c>
      <c r="F2321" s="25">
        <v>54540.13</v>
      </c>
      <c r="G2321" s="15">
        <f t="shared" si="98"/>
        <v>0.834178445547197</v>
      </c>
      <c r="H2321" s="16">
        <f t="shared" si="99"/>
        <v>0.5472619907686133</v>
      </c>
      <c r="I2321" s="16">
        <f>F2321/F2324</f>
        <v>0.04937970224201059</v>
      </c>
    </row>
    <row r="2322" spans="1:9" s="135" customFormat="1" ht="20.25" customHeight="1">
      <c r="A2322" s="4">
        <v>200</v>
      </c>
      <c r="B2322" s="504" t="s">
        <v>543</v>
      </c>
      <c r="C2322" s="505"/>
      <c r="D2322" s="54">
        <v>0</v>
      </c>
      <c r="E2322" s="25">
        <v>0</v>
      </c>
      <c r="F2322" s="25">
        <v>0</v>
      </c>
      <c r="G2322" s="15" t="e">
        <f t="shared" si="98"/>
        <v>#DIV/0!</v>
      </c>
      <c r="H2322" s="16" t="e">
        <f t="shared" si="99"/>
        <v>#DIV/0!</v>
      </c>
      <c r="I2322" s="16">
        <f>F2322/F2324</f>
        <v>0</v>
      </c>
    </row>
    <row r="2323" spans="1:9" s="135" customFormat="1" ht="20.25" customHeight="1">
      <c r="A2323" s="4">
        <v>300</v>
      </c>
      <c r="B2323" s="504" t="s">
        <v>544</v>
      </c>
      <c r="C2323" s="505"/>
      <c r="D2323" s="25">
        <v>102775.09</v>
      </c>
      <c r="E2323" s="25">
        <v>67578</v>
      </c>
      <c r="F2323" s="25">
        <v>0</v>
      </c>
      <c r="G2323" s="15">
        <f t="shared" si="98"/>
        <v>0</v>
      </c>
      <c r="H2323" s="16">
        <f t="shared" si="99"/>
        <v>0</v>
      </c>
      <c r="I2323" s="16">
        <f>F2323/F2324</f>
        <v>0</v>
      </c>
    </row>
    <row r="2324" spans="1:9" s="135" customFormat="1" ht="30" customHeight="1">
      <c r="A2324" s="17"/>
      <c r="B2324" s="548" t="s">
        <v>95</v>
      </c>
      <c r="C2324" s="549"/>
      <c r="D2324" s="373">
        <f>D2319+D2320+D2321+D2322+D2323</f>
        <v>1001477.3299999998</v>
      </c>
      <c r="E2324" s="36">
        <f>E2319+E2320+E2321+E2322+E2323</f>
        <v>2315913</v>
      </c>
      <c r="F2324" s="36">
        <f>F2319+F2320+F2321+F2322+F2323</f>
        <v>1104505.04</v>
      </c>
      <c r="G2324" s="20">
        <f t="shared" si="98"/>
        <v>1.1028757285998678</v>
      </c>
      <c r="H2324" s="21">
        <f t="shared" si="99"/>
        <v>0.47691991883978374</v>
      </c>
      <c r="I2324" s="21">
        <f>SUM(I2319:I2323)</f>
        <v>1</v>
      </c>
    </row>
    <row r="2325" spans="1:8" s="135" customFormat="1" ht="20.25" customHeight="1">
      <c r="A2325" s="49"/>
      <c r="B2325" s="49"/>
      <c r="C2325" s="49"/>
      <c r="D2325" s="49"/>
      <c r="E2325" s="208"/>
      <c r="F2325" s="49"/>
      <c r="G2325" s="49"/>
      <c r="H2325" s="40"/>
    </row>
    <row r="2326" spans="1:9" s="135" customFormat="1" ht="20.25" customHeight="1">
      <c r="A2326" s="299"/>
      <c r="B2326" s="600" t="s">
        <v>1182</v>
      </c>
      <c r="C2326" s="600"/>
      <c r="D2326" s="600"/>
      <c r="E2326" s="600"/>
      <c r="F2326" s="600"/>
      <c r="G2326" s="600"/>
      <c r="H2326" s="600"/>
      <c r="I2326" s="600"/>
    </row>
    <row r="2327" spans="1:9" s="135" customFormat="1" ht="19.5" customHeight="1">
      <c r="A2327" s="600" t="s">
        <v>632</v>
      </c>
      <c r="B2327" s="600"/>
      <c r="C2327" s="600"/>
      <c r="D2327" s="600"/>
      <c r="E2327" s="600"/>
      <c r="F2327" s="600"/>
      <c r="G2327" s="600"/>
      <c r="H2327" s="600"/>
      <c r="I2327" s="600"/>
    </row>
    <row r="2328" spans="1:9" s="135" customFormat="1" ht="20.25" customHeight="1">
      <c r="A2328" s="503" t="s">
        <v>1183</v>
      </c>
      <c r="B2328" s="503"/>
      <c r="C2328" s="503"/>
      <c r="D2328" s="503"/>
      <c r="E2328" s="503"/>
      <c r="F2328" s="503"/>
      <c r="G2328" s="503"/>
      <c r="H2328" s="503"/>
      <c r="I2328" s="503"/>
    </row>
    <row r="2329" spans="1:9" s="135" customFormat="1" ht="20.25" customHeight="1">
      <c r="A2329" s="486" t="s">
        <v>1184</v>
      </c>
      <c r="B2329" s="486"/>
      <c r="C2329" s="486"/>
      <c r="D2329" s="486"/>
      <c r="E2329" s="486"/>
      <c r="F2329" s="486"/>
      <c r="G2329" s="486"/>
      <c r="H2329" s="486"/>
      <c r="I2329" s="486"/>
    </row>
    <row r="2330" spans="1:9" s="135" customFormat="1" ht="20.25" customHeight="1">
      <c r="A2330" s="486" t="s">
        <v>1178</v>
      </c>
      <c r="B2330" s="486"/>
      <c r="C2330" s="486"/>
      <c r="D2330" s="486"/>
      <c r="E2330" s="486"/>
      <c r="F2330" s="486"/>
      <c r="G2330" s="486"/>
      <c r="H2330" s="486"/>
      <c r="I2330" s="486"/>
    </row>
    <row r="2331" spans="1:9" s="135" customFormat="1" ht="20.25" customHeight="1">
      <c r="A2331" s="486" t="s">
        <v>1185</v>
      </c>
      <c r="B2331" s="486"/>
      <c r="C2331" s="486"/>
      <c r="D2331" s="486"/>
      <c r="E2331" s="486"/>
      <c r="F2331" s="486"/>
      <c r="G2331" s="486"/>
      <c r="H2331" s="486"/>
      <c r="I2331" s="486"/>
    </row>
    <row r="2332" spans="1:10" s="135" customFormat="1" ht="20.25" customHeight="1">
      <c r="A2332" s="486" t="s">
        <v>1186</v>
      </c>
      <c r="B2332" s="486"/>
      <c r="C2332" s="486"/>
      <c r="D2332" s="486"/>
      <c r="E2332" s="486"/>
      <c r="F2332" s="486"/>
      <c r="G2332" s="486"/>
      <c r="H2332" s="486"/>
      <c r="I2332" s="486"/>
      <c r="J2332" s="40"/>
    </row>
    <row r="2333" spans="1:10" s="135" customFormat="1" ht="20.25" customHeight="1">
      <c r="A2333" s="486" t="s">
        <v>1187</v>
      </c>
      <c r="B2333" s="486"/>
      <c r="C2333" s="486"/>
      <c r="D2333" s="486"/>
      <c r="E2333" s="486"/>
      <c r="F2333" s="486"/>
      <c r="G2333" s="486"/>
      <c r="H2333" s="486"/>
      <c r="I2333" s="486"/>
      <c r="J2333" s="40"/>
    </row>
    <row r="2334" spans="1:10" s="135" customFormat="1" ht="20.25" customHeight="1">
      <c r="A2334" s="486"/>
      <c r="B2334" s="486"/>
      <c r="C2334" s="486"/>
      <c r="D2334" s="486"/>
      <c r="E2334" s="486"/>
      <c r="F2334" s="486"/>
      <c r="G2334" s="486"/>
      <c r="H2334" s="486"/>
      <c r="I2334" s="486"/>
      <c r="J2334" s="40"/>
    </row>
    <row r="2335" spans="1:9" s="135" customFormat="1" ht="20.25" customHeight="1">
      <c r="A2335" s="273"/>
      <c r="E2335" s="273"/>
      <c r="F2335" s="273"/>
      <c r="G2335" s="273"/>
      <c r="H2335" s="273"/>
      <c r="I2335" s="273"/>
    </row>
    <row r="2336" spans="1:8" s="135" customFormat="1" ht="29.25" customHeight="1">
      <c r="A2336" s="273"/>
      <c r="B2336" s="605" t="s">
        <v>992</v>
      </c>
      <c r="C2336" s="605"/>
      <c r="D2336" s="605"/>
      <c r="E2336" s="273"/>
      <c r="F2336" s="273"/>
      <c r="G2336" s="273"/>
      <c r="H2336" s="273"/>
    </row>
    <row r="2337" spans="1:8" s="135" customFormat="1" ht="29.25" customHeight="1">
      <c r="A2337" s="273"/>
      <c r="B2337" s="297"/>
      <c r="C2337" s="297"/>
      <c r="D2337" s="297"/>
      <c r="E2337" s="273"/>
      <c r="F2337" s="273"/>
      <c r="G2337" s="273"/>
      <c r="H2337" s="273"/>
    </row>
    <row r="2338" spans="1:8" s="135" customFormat="1" ht="20.25" customHeight="1">
      <c r="A2338" s="273"/>
      <c r="B2338" s="281"/>
      <c r="C2338" s="281"/>
      <c r="D2338" s="281"/>
      <c r="E2338" s="273"/>
      <c r="F2338" s="273"/>
      <c r="G2338" s="273"/>
      <c r="H2338" s="273"/>
    </row>
    <row r="2339" spans="1:9" s="135" customFormat="1" ht="20.25" customHeight="1">
      <c r="A2339" s="273"/>
      <c r="B2339" s="515" t="s">
        <v>306</v>
      </c>
      <c r="C2339" s="585"/>
      <c r="D2339" s="585"/>
      <c r="E2339" s="585"/>
      <c r="F2339" s="585"/>
      <c r="G2339" s="585"/>
      <c r="H2339" s="585"/>
      <c r="I2339" s="585"/>
    </row>
    <row r="2340" spans="1:9" s="135" customFormat="1" ht="20.25" customHeight="1">
      <c r="A2340" s="273"/>
      <c r="B2340" s="515" t="s">
        <v>307</v>
      </c>
      <c r="C2340" s="585"/>
      <c r="D2340" s="585"/>
      <c r="E2340" s="585"/>
      <c r="F2340" s="585"/>
      <c r="G2340" s="585"/>
      <c r="H2340" s="585"/>
      <c r="I2340" s="585"/>
    </row>
    <row r="2341" spans="1:9" s="135" customFormat="1" ht="20.25" customHeight="1">
      <c r="A2341" s="273"/>
      <c r="B2341" s="515" t="s">
        <v>308</v>
      </c>
      <c r="C2341" s="585"/>
      <c r="D2341" s="585"/>
      <c r="E2341" s="585"/>
      <c r="F2341" s="585"/>
      <c r="G2341" s="585"/>
      <c r="H2341" s="585"/>
      <c r="I2341" s="585"/>
    </row>
    <row r="2342" spans="1:9" s="135" customFormat="1" ht="20.25" customHeight="1">
      <c r="A2342" s="273"/>
      <c r="B2342" s="515" t="s">
        <v>309</v>
      </c>
      <c r="C2342" s="585"/>
      <c r="D2342" s="585"/>
      <c r="E2342" s="585"/>
      <c r="F2342" s="585"/>
      <c r="G2342" s="585"/>
      <c r="H2342" s="585"/>
      <c r="I2342" s="585"/>
    </row>
    <row r="2343" spans="1:9" s="135" customFormat="1" ht="20.25" customHeight="1">
      <c r="A2343" s="273"/>
      <c r="B2343" s="273"/>
      <c r="C2343" s="273"/>
      <c r="D2343" s="273"/>
      <c r="E2343" s="273"/>
      <c r="F2343" s="273"/>
      <c r="G2343" s="273"/>
      <c r="H2343" s="273"/>
      <c r="I2343" s="273"/>
    </row>
    <row r="2344" spans="1:9" s="135" customFormat="1" ht="20.25" customHeight="1">
      <c r="A2344" s="273"/>
      <c r="E2344" s="273"/>
      <c r="F2344" s="273"/>
      <c r="G2344" s="273"/>
      <c r="H2344" s="273"/>
      <c r="I2344" s="273"/>
    </row>
    <row r="2345" spans="1:9" s="135" customFormat="1" ht="30" customHeight="1">
      <c r="A2345" s="273"/>
      <c r="B2345" s="605" t="s">
        <v>993</v>
      </c>
      <c r="C2345" s="605"/>
      <c r="D2345" s="605"/>
      <c r="E2345" s="605"/>
      <c r="F2345" s="273"/>
      <c r="G2345" s="273"/>
      <c r="H2345" s="273"/>
      <c r="I2345" s="273"/>
    </row>
    <row r="2346" spans="1:9" s="135" customFormat="1" ht="20.25" customHeight="1">
      <c r="A2346" s="273"/>
      <c r="B2346" s="297"/>
      <c r="C2346" s="297"/>
      <c r="D2346" s="297"/>
      <c r="E2346" s="297"/>
      <c r="F2346" s="273"/>
      <c r="G2346" s="273"/>
      <c r="H2346" s="273"/>
      <c r="I2346" s="273"/>
    </row>
    <row r="2347" spans="1:9" s="135" customFormat="1" ht="20.25" customHeight="1">
      <c r="A2347" s="273"/>
      <c r="B2347" s="273"/>
      <c r="C2347" s="273"/>
      <c r="D2347" s="273"/>
      <c r="E2347" s="273"/>
      <c r="F2347" s="273"/>
      <c r="G2347" s="273"/>
      <c r="H2347" s="273"/>
      <c r="I2347" s="273"/>
    </row>
    <row r="2348" spans="1:9" s="135" customFormat="1" ht="20.25" customHeight="1">
      <c r="A2348" s="191"/>
      <c r="B2348" s="518" t="s">
        <v>310</v>
      </c>
      <c r="C2348" s="518"/>
      <c r="D2348" s="518"/>
      <c r="E2348" s="518"/>
      <c r="F2348" s="518"/>
      <c r="G2348" s="518"/>
      <c r="H2348" s="518"/>
      <c r="I2348" s="518"/>
    </row>
    <row r="2349" spans="1:9" s="135" customFormat="1" ht="20.25" customHeight="1">
      <c r="A2349" s="141" t="s">
        <v>311</v>
      </c>
      <c r="B2349" s="141"/>
      <c r="C2349" s="141"/>
      <c r="D2349" s="141"/>
      <c r="E2349" s="141"/>
      <c r="F2349" s="141"/>
      <c r="G2349" s="141"/>
      <c r="H2349" s="141"/>
      <c r="I2349" s="141"/>
    </row>
    <row r="2350" spans="1:9" s="135" customFormat="1" ht="20.25" customHeight="1">
      <c r="A2350" s="273"/>
      <c r="B2350" s="141" t="s">
        <v>1199</v>
      </c>
      <c r="C2350" s="141"/>
      <c r="D2350" s="141"/>
      <c r="E2350" s="141"/>
      <c r="F2350" s="141"/>
      <c r="G2350" s="141"/>
      <c r="H2350" s="141"/>
      <c r="I2350" s="141"/>
    </row>
    <row r="2351" spans="1:9" s="135" customFormat="1" ht="20.25" customHeight="1">
      <c r="A2351" s="518" t="s">
        <v>1200</v>
      </c>
      <c r="B2351" s="518"/>
      <c r="C2351" s="518"/>
      <c r="D2351" s="518"/>
      <c r="E2351" s="518"/>
      <c r="F2351" s="518"/>
      <c r="G2351" s="518"/>
      <c r="H2351" s="518"/>
      <c r="I2351" s="518"/>
    </row>
    <row r="2352" spans="1:9" s="135" customFormat="1" ht="20.25" customHeight="1">
      <c r="A2352" s="273"/>
      <c r="B2352" s="517"/>
      <c r="C2352" s="517"/>
      <c r="D2352" s="517"/>
      <c r="E2352" s="517"/>
      <c r="F2352" s="517"/>
      <c r="G2352" s="517"/>
      <c r="H2352" s="517"/>
      <c r="I2352" s="517"/>
    </row>
    <row r="2353" spans="1:9" s="135" customFormat="1" ht="20.25" customHeight="1">
      <c r="A2353" s="273"/>
      <c r="B2353" s="141"/>
      <c r="C2353" s="141"/>
      <c r="D2353" s="477"/>
      <c r="E2353" s="141"/>
      <c r="F2353" s="280"/>
      <c r="G2353" s="280"/>
      <c r="H2353" s="280"/>
      <c r="I2353" s="458"/>
    </row>
    <row r="2354" spans="1:9" s="135" customFormat="1" ht="20.25" customHeight="1">
      <c r="A2354" s="273"/>
      <c r="B2354" s="273"/>
      <c r="C2354" s="273"/>
      <c r="D2354" s="273"/>
      <c r="E2354" s="273"/>
      <c r="F2354" s="273"/>
      <c r="G2354" s="273"/>
      <c r="H2354" s="273"/>
      <c r="I2354" s="430">
        <v>36</v>
      </c>
    </row>
    <row r="2355" spans="1:9" s="135" customFormat="1" ht="20.25" customHeight="1">
      <c r="A2355" s="273"/>
      <c r="B2355" s="273"/>
      <c r="C2355" s="273"/>
      <c r="D2355" s="273"/>
      <c r="E2355" s="273"/>
      <c r="F2355" s="273"/>
      <c r="G2355" s="273"/>
      <c r="H2355" s="273"/>
      <c r="I2355" s="209"/>
    </row>
    <row r="2356" spans="1:9" s="135" customFormat="1" ht="20.25" customHeight="1">
      <c r="A2356" s="273"/>
      <c r="B2356" s="273"/>
      <c r="C2356" s="273"/>
      <c r="D2356" s="273"/>
      <c r="E2356" s="273"/>
      <c r="F2356" s="273"/>
      <c r="G2356" s="273"/>
      <c r="H2356" s="273"/>
      <c r="I2356" s="209"/>
    </row>
    <row r="2357" spans="1:9" s="135" customFormat="1" ht="20.25" customHeight="1">
      <c r="A2357" s="273"/>
      <c r="B2357" s="140"/>
      <c r="E2357" s="273"/>
      <c r="F2357" s="273"/>
      <c r="G2357" s="273"/>
      <c r="H2357" s="273"/>
      <c r="I2357" s="209"/>
    </row>
    <row r="2358" spans="1:9" s="135" customFormat="1" ht="20.25" customHeight="1">
      <c r="A2358" s="273"/>
      <c r="E2358" s="273"/>
      <c r="F2358" s="273"/>
      <c r="G2358" s="273"/>
      <c r="H2358" s="273"/>
      <c r="I2358" s="209"/>
    </row>
    <row r="2359" spans="1:9" s="135" customFormat="1" ht="30" customHeight="1">
      <c r="A2359" s="278"/>
      <c r="B2359" s="608" t="s">
        <v>1062</v>
      </c>
      <c r="C2359" s="608"/>
      <c r="D2359" s="608"/>
      <c r="E2359" s="608"/>
      <c r="F2359" s="608"/>
      <c r="G2359" s="608"/>
      <c r="I2359" s="272"/>
    </row>
    <row r="2360" spans="1:9" s="135" customFormat="1" ht="30" customHeight="1">
      <c r="A2360" s="278"/>
      <c r="B2360" s="278"/>
      <c r="C2360" s="278"/>
      <c r="D2360" s="278"/>
      <c r="E2360" s="278"/>
      <c r="F2360" s="278"/>
      <c r="G2360" s="278"/>
      <c r="I2360" s="272"/>
    </row>
    <row r="2361" spans="1:9" s="135" customFormat="1" ht="20.25" customHeight="1">
      <c r="A2361" s="278"/>
      <c r="B2361" s="278"/>
      <c r="C2361" s="278"/>
      <c r="D2361" s="278"/>
      <c r="E2361" s="278"/>
      <c r="F2361" s="278"/>
      <c r="G2361" s="278"/>
      <c r="I2361" s="272"/>
    </row>
    <row r="2362" spans="1:9" s="135" customFormat="1" ht="20.25" customHeight="1">
      <c r="A2362" s="278"/>
      <c r="B2362" s="278"/>
      <c r="C2362" s="278"/>
      <c r="D2362" s="278"/>
      <c r="E2362" s="278"/>
      <c r="F2362" s="278"/>
      <c r="G2362" s="278"/>
      <c r="I2362" s="272"/>
    </row>
    <row r="2363" spans="1:9" s="135" customFormat="1" ht="20.25" customHeight="1">
      <c r="A2363" s="599" t="s">
        <v>1189</v>
      </c>
      <c r="B2363" s="599"/>
      <c r="C2363" s="599"/>
      <c r="D2363" s="599"/>
      <c r="E2363" s="599"/>
      <c r="F2363" s="599"/>
      <c r="G2363" s="599"/>
      <c r="H2363" s="599"/>
      <c r="I2363" s="599"/>
    </row>
    <row r="2364" spans="1:9" s="135" customFormat="1" ht="20.25" customHeight="1">
      <c r="A2364" s="600" t="s">
        <v>1188</v>
      </c>
      <c r="B2364" s="600"/>
      <c r="C2364" s="600"/>
      <c r="D2364" s="600"/>
      <c r="E2364" s="600"/>
      <c r="F2364" s="600"/>
      <c r="G2364" s="600"/>
      <c r="H2364" s="600"/>
      <c r="I2364" s="600"/>
    </row>
    <row r="2365" spans="1:6" s="135" customFormat="1" ht="20.25" customHeight="1">
      <c r="A2365" s="282"/>
      <c r="F2365"/>
    </row>
    <row r="2366" spans="1:8" s="135" customFormat="1" ht="20.25" customHeight="1">
      <c r="A2366" s="40"/>
      <c r="B2366" s="40"/>
      <c r="C2366"/>
      <c r="D2366" s="607" t="s">
        <v>682</v>
      </c>
      <c r="E2366" s="607"/>
      <c r="F2366" s="607"/>
      <c r="G2366" s="40"/>
      <c r="H2366" s="40"/>
    </row>
    <row r="2367" spans="1:8" s="135" customFormat="1" ht="20.25" customHeight="1">
      <c r="A2367" s="40"/>
      <c r="B2367" s="40"/>
      <c r="C2367" s="40"/>
      <c r="D2367" s="40"/>
      <c r="E2367" s="40"/>
      <c r="F2367" s="40"/>
      <c r="G2367" s="40"/>
      <c r="H2367" s="40"/>
    </row>
    <row r="2368" spans="1:9" s="135" customFormat="1" ht="20.25" customHeight="1">
      <c r="A2368" s="22" t="s">
        <v>683</v>
      </c>
      <c r="B2368" s="491" t="s">
        <v>688</v>
      </c>
      <c r="C2368" s="492"/>
      <c r="D2368" s="5" t="s">
        <v>686</v>
      </c>
      <c r="E2368" s="5" t="s">
        <v>712</v>
      </c>
      <c r="F2368" s="5" t="s">
        <v>686</v>
      </c>
      <c r="G2368" s="510" t="s">
        <v>713</v>
      </c>
      <c r="H2368" s="511"/>
      <c r="I2368" s="6" t="s">
        <v>714</v>
      </c>
    </row>
    <row r="2369" spans="1:9" s="135" customFormat="1" ht="20.25" customHeight="1">
      <c r="A2369" s="23" t="s">
        <v>97</v>
      </c>
      <c r="B2369" s="493"/>
      <c r="C2369" s="494"/>
      <c r="D2369" s="7" t="s">
        <v>656</v>
      </c>
      <c r="E2369" s="7" t="s">
        <v>715</v>
      </c>
      <c r="F2369" s="7" t="s">
        <v>657</v>
      </c>
      <c r="G2369" s="8" t="s">
        <v>706</v>
      </c>
      <c r="H2369" s="9" t="s">
        <v>707</v>
      </c>
      <c r="I2369" s="10" t="s">
        <v>717</v>
      </c>
    </row>
    <row r="2370" spans="1:9" s="135" customFormat="1" ht="20.25" customHeight="1">
      <c r="A2370" s="13">
        <v>1</v>
      </c>
      <c r="B2370" s="535">
        <v>2</v>
      </c>
      <c r="C2370" s="536"/>
      <c r="D2370" s="12">
        <v>3</v>
      </c>
      <c r="E2370" s="12">
        <v>4</v>
      </c>
      <c r="F2370" s="12">
        <v>5</v>
      </c>
      <c r="G2370" s="12">
        <v>6</v>
      </c>
      <c r="H2370" s="12">
        <v>7</v>
      </c>
      <c r="I2370" s="13">
        <v>8</v>
      </c>
    </row>
    <row r="2371" spans="1:9" s="135" customFormat="1" ht="20.25" customHeight="1">
      <c r="A2371" s="4">
        <v>111</v>
      </c>
      <c r="B2371" s="504" t="s">
        <v>540</v>
      </c>
      <c r="C2371" s="505"/>
      <c r="D2371" s="25">
        <v>26215.99</v>
      </c>
      <c r="E2371" s="25">
        <v>90000</v>
      </c>
      <c r="F2371" s="25">
        <v>31740.44</v>
      </c>
      <c r="G2371" s="15">
        <f aca="true" t="shared" si="100" ref="G2371:G2376">F2371/D2371</f>
        <v>1.2107282616448967</v>
      </c>
      <c r="H2371" s="16">
        <f aca="true" t="shared" si="101" ref="H2371:H2376">F2371/E2371</f>
        <v>0.3526715555555555</v>
      </c>
      <c r="I2371" s="16">
        <f>F2371/F2376</f>
        <v>0.4261905644274651</v>
      </c>
    </row>
    <row r="2372" spans="1:9" s="135" customFormat="1" ht="20.25" customHeight="1">
      <c r="A2372" s="4">
        <v>130</v>
      </c>
      <c r="B2372" s="504" t="s">
        <v>541</v>
      </c>
      <c r="C2372" s="505"/>
      <c r="D2372" s="234">
        <v>6737.64</v>
      </c>
      <c r="E2372" s="14">
        <v>25000</v>
      </c>
      <c r="F2372" s="14">
        <v>25299.55</v>
      </c>
      <c r="G2372" s="15">
        <f t="shared" si="100"/>
        <v>3.754957225378619</v>
      </c>
      <c r="H2372" s="16">
        <f t="shared" si="101"/>
        <v>1.011982</v>
      </c>
      <c r="I2372" s="16">
        <f>F2372/F2376</f>
        <v>0.33970636494833956</v>
      </c>
    </row>
    <row r="2373" spans="1:9" s="135" customFormat="1" ht="20.25" customHeight="1">
      <c r="A2373" s="4">
        <v>132</v>
      </c>
      <c r="B2373" s="504" t="s">
        <v>542</v>
      </c>
      <c r="C2373" s="505"/>
      <c r="D2373" s="238">
        <v>3194.03</v>
      </c>
      <c r="E2373" s="25">
        <v>9000</v>
      </c>
      <c r="F2373" s="25">
        <v>3704.77</v>
      </c>
      <c r="G2373" s="15">
        <f t="shared" si="100"/>
        <v>1.159904571967076</v>
      </c>
      <c r="H2373" s="16">
        <f t="shared" si="101"/>
        <v>0.4116411111111111</v>
      </c>
      <c r="I2373" s="16">
        <f>F2373/F2376</f>
        <v>0.049745309686127226</v>
      </c>
    </row>
    <row r="2374" spans="1:9" s="135" customFormat="1" ht="20.25" customHeight="1">
      <c r="A2374" s="4">
        <v>200</v>
      </c>
      <c r="B2374" s="504" t="s">
        <v>543</v>
      </c>
      <c r="C2374" s="505"/>
      <c r="D2374" s="54">
        <v>14376</v>
      </c>
      <c r="E2374" s="25">
        <v>30000</v>
      </c>
      <c r="F2374" s="25">
        <v>13730</v>
      </c>
      <c r="G2374" s="15">
        <f t="shared" si="100"/>
        <v>0.9550639955481358</v>
      </c>
      <c r="H2374" s="16">
        <f t="shared" si="101"/>
        <v>0.45766666666666667</v>
      </c>
      <c r="I2374" s="16">
        <f>F2374/F2376</f>
        <v>0.18435776093806816</v>
      </c>
    </row>
    <row r="2375" spans="1:9" s="135" customFormat="1" ht="20.25" customHeight="1">
      <c r="A2375" s="4">
        <v>300</v>
      </c>
      <c r="B2375" s="504" t="s">
        <v>544</v>
      </c>
      <c r="C2375" s="505"/>
      <c r="D2375" s="25">
        <v>0</v>
      </c>
      <c r="E2375" s="25">
        <v>15000</v>
      </c>
      <c r="F2375" s="25">
        <v>0</v>
      </c>
      <c r="G2375" s="15" t="e">
        <f t="shared" si="100"/>
        <v>#DIV/0!</v>
      </c>
      <c r="H2375" s="16">
        <f t="shared" si="101"/>
        <v>0</v>
      </c>
      <c r="I2375" s="16">
        <f>F2375/F2376</f>
        <v>0</v>
      </c>
    </row>
    <row r="2376" spans="1:9" s="135" customFormat="1" ht="30" customHeight="1">
      <c r="A2376" s="17"/>
      <c r="B2376" s="548" t="s">
        <v>95</v>
      </c>
      <c r="C2376" s="549"/>
      <c r="D2376" s="288">
        <f>D2371+D2372+D2373+D2374+D2375</f>
        <v>50523.66</v>
      </c>
      <c r="E2376" s="211">
        <f>E2371+E2372+E2373+E2374+E2375</f>
        <v>169000</v>
      </c>
      <c r="F2376" s="211">
        <f>F2371+F2372+F2373+F2374+F2375</f>
        <v>74474.76</v>
      </c>
      <c r="G2376" s="265">
        <f t="shared" si="100"/>
        <v>1.474057105126588</v>
      </c>
      <c r="H2376" s="266">
        <f t="shared" si="101"/>
        <v>0.44067905325443785</v>
      </c>
      <c r="I2376" s="266">
        <f>SUM(I2371:I2375)</f>
        <v>1</v>
      </c>
    </row>
    <row r="2377" spans="1:8" s="135" customFormat="1" ht="20.25" customHeight="1">
      <c r="A2377" s="49"/>
      <c r="B2377" s="49"/>
      <c r="C2377" s="49"/>
      <c r="D2377" s="49"/>
      <c r="E2377" s="208"/>
      <c r="F2377" s="49"/>
      <c r="G2377" s="49"/>
      <c r="H2377" s="40"/>
    </row>
    <row r="2378" spans="1:9" s="135" customFormat="1" ht="20.25" customHeight="1">
      <c r="A2378" s="503" t="s">
        <v>1190</v>
      </c>
      <c r="B2378" s="503"/>
      <c r="C2378" s="503"/>
      <c r="D2378" s="503"/>
      <c r="E2378" s="503"/>
      <c r="F2378" s="503"/>
      <c r="G2378" s="503"/>
      <c r="H2378" s="503"/>
      <c r="I2378" s="503"/>
    </row>
    <row r="2379" spans="1:9" s="135" customFormat="1" ht="20.25" customHeight="1">
      <c r="A2379" s="486" t="s">
        <v>1191</v>
      </c>
      <c r="B2379" s="486"/>
      <c r="C2379" s="486"/>
      <c r="D2379" s="486"/>
      <c r="E2379" s="486"/>
      <c r="F2379" s="486"/>
      <c r="G2379" s="486"/>
      <c r="H2379" s="486"/>
      <c r="I2379" s="486"/>
    </row>
    <row r="2380" spans="1:9" s="135" customFormat="1" ht="20.25" customHeight="1">
      <c r="A2380" s="486" t="s">
        <v>1192</v>
      </c>
      <c r="B2380" s="486"/>
      <c r="C2380" s="486"/>
      <c r="D2380" s="486"/>
      <c r="E2380" s="486"/>
      <c r="F2380" s="486"/>
      <c r="G2380" s="486"/>
      <c r="H2380" s="486"/>
      <c r="I2380" s="486"/>
    </row>
    <row r="2381" spans="1:9" s="135" customFormat="1" ht="20.25" customHeight="1">
      <c r="A2381" s="486" t="s">
        <v>1193</v>
      </c>
      <c r="B2381" s="486"/>
      <c r="C2381" s="486"/>
      <c r="D2381" s="486"/>
      <c r="E2381" s="486"/>
      <c r="F2381" s="486"/>
      <c r="G2381" s="486"/>
      <c r="H2381" s="486"/>
      <c r="I2381" s="486"/>
    </row>
    <row r="2382" spans="1:9" s="135" customFormat="1" ht="20.25" customHeight="1">
      <c r="A2382" s="486" t="s">
        <v>1194</v>
      </c>
      <c r="B2382" s="486"/>
      <c r="C2382" s="486"/>
      <c r="D2382" s="486"/>
      <c r="E2382" s="486"/>
      <c r="F2382" s="486"/>
      <c r="G2382" s="486"/>
      <c r="H2382" s="486"/>
      <c r="I2382" s="486"/>
    </row>
    <row r="2383" spans="1:9" s="135" customFormat="1" ht="20.25" customHeight="1">
      <c r="A2383" s="486" t="s">
        <v>1195</v>
      </c>
      <c r="B2383" s="486"/>
      <c r="C2383" s="486"/>
      <c r="D2383" s="486"/>
      <c r="E2383" s="486"/>
      <c r="F2383" s="486"/>
      <c r="G2383" s="486"/>
      <c r="H2383" s="486"/>
      <c r="I2383" s="486"/>
    </row>
    <row r="2384" spans="1:9" s="135" customFormat="1" ht="20.25" customHeight="1">
      <c r="A2384" s="486" t="s">
        <v>1196</v>
      </c>
      <c r="B2384" s="486"/>
      <c r="C2384" s="486"/>
      <c r="D2384" s="486"/>
      <c r="E2384" s="486"/>
      <c r="F2384" s="486"/>
      <c r="G2384" s="486"/>
      <c r="H2384" s="486"/>
      <c r="I2384" s="486"/>
    </row>
    <row r="2385" spans="1:9" s="135" customFormat="1" ht="20.25" customHeight="1">
      <c r="A2385" s="486" t="s">
        <v>1197</v>
      </c>
      <c r="B2385" s="486"/>
      <c r="C2385" s="486"/>
      <c r="D2385" s="486"/>
      <c r="E2385" s="486"/>
      <c r="F2385" s="486"/>
      <c r="G2385" s="486"/>
      <c r="H2385" s="486"/>
      <c r="I2385" s="486"/>
    </row>
    <row r="2386" spans="1:9" s="135" customFormat="1" ht="20.25" customHeight="1">
      <c r="A2386" s="486" t="s">
        <v>1198</v>
      </c>
      <c r="B2386" s="486"/>
      <c r="C2386" s="486"/>
      <c r="D2386" s="486"/>
      <c r="E2386" s="486"/>
      <c r="F2386" s="486"/>
      <c r="G2386" s="486"/>
      <c r="H2386" s="486"/>
      <c r="I2386" s="486"/>
    </row>
    <row r="2387" spans="1:9" s="135" customFormat="1" ht="20.25" customHeight="1">
      <c r="A2387" s="273"/>
      <c r="B2387" s="281"/>
      <c r="C2387" s="281"/>
      <c r="D2387" s="281"/>
      <c r="E2387" s="273"/>
      <c r="F2387" s="273"/>
      <c r="G2387" s="273"/>
      <c r="H2387" s="273"/>
      <c r="I2387" s="273"/>
    </row>
    <row r="2388" spans="1:9" s="135" customFormat="1" ht="20.25" customHeight="1">
      <c r="A2388" s="273"/>
      <c r="B2388" s="281"/>
      <c r="C2388" s="281"/>
      <c r="D2388" s="281"/>
      <c r="E2388" s="273"/>
      <c r="F2388" s="273"/>
      <c r="G2388" s="273"/>
      <c r="H2388" s="273"/>
      <c r="I2388" s="273"/>
    </row>
    <row r="2389" spans="1:8" s="135" customFormat="1" ht="20.25" customHeight="1">
      <c r="A2389" s="273"/>
      <c r="B2389" s="273"/>
      <c r="C2389" s="273"/>
      <c r="D2389" s="273"/>
      <c r="E2389" s="273"/>
      <c r="F2389" s="273"/>
      <c r="G2389" s="273"/>
      <c r="H2389" s="273"/>
    </row>
    <row r="2390" spans="1:9" s="135" customFormat="1" ht="20.25" customHeight="1">
      <c r="A2390" s="273"/>
      <c r="B2390" s="273"/>
      <c r="C2390" s="273"/>
      <c r="D2390" s="273"/>
      <c r="E2390" s="273"/>
      <c r="F2390" s="273"/>
      <c r="G2390" s="273"/>
      <c r="H2390" s="273"/>
      <c r="I2390" s="273"/>
    </row>
    <row r="2391" spans="1:9" s="135" customFormat="1" ht="30" customHeight="1">
      <c r="A2391" s="273"/>
      <c r="B2391" s="605" t="s">
        <v>992</v>
      </c>
      <c r="C2391" s="605"/>
      <c r="D2391" s="605"/>
      <c r="E2391" s="273"/>
      <c r="F2391" s="273"/>
      <c r="G2391" s="273"/>
      <c r="H2391" s="273"/>
      <c r="I2391" s="273"/>
    </row>
    <row r="2392" spans="1:9" s="135" customFormat="1" ht="20.25" customHeight="1">
      <c r="A2392" s="273"/>
      <c r="B2392" s="273"/>
      <c r="C2392" s="273"/>
      <c r="D2392" s="273"/>
      <c r="E2392" s="273"/>
      <c r="F2392" s="273"/>
      <c r="G2392" s="273"/>
      <c r="H2392" s="273"/>
      <c r="I2392" s="273"/>
    </row>
    <row r="2393" spans="1:9" s="135" customFormat="1" ht="20.25" customHeight="1">
      <c r="A2393" s="273"/>
      <c r="B2393" s="273"/>
      <c r="C2393" s="273"/>
      <c r="D2393" s="273"/>
      <c r="E2393" s="273"/>
      <c r="F2393" s="273"/>
      <c r="G2393" s="273"/>
      <c r="H2393" s="273"/>
      <c r="I2393" s="273"/>
    </row>
    <row r="2394" spans="1:9" s="135" customFormat="1" ht="20.25" customHeight="1">
      <c r="A2394" s="273"/>
      <c r="B2394" s="273"/>
      <c r="C2394" s="273"/>
      <c r="D2394" s="273"/>
      <c r="E2394" s="273"/>
      <c r="F2394" s="273"/>
      <c r="G2394" s="273"/>
      <c r="H2394" s="273"/>
      <c r="I2394" s="273"/>
    </row>
    <row r="2395" spans="1:9" s="135" customFormat="1" ht="20.25" customHeight="1">
      <c r="A2395" s="273"/>
      <c r="B2395" s="273"/>
      <c r="C2395" s="273"/>
      <c r="D2395" s="273"/>
      <c r="E2395" s="273"/>
      <c r="F2395" s="273"/>
      <c r="G2395" s="273"/>
      <c r="H2395" s="273"/>
      <c r="I2395" s="273"/>
    </row>
    <row r="2396" spans="1:9" s="135" customFormat="1" ht="20.25" customHeight="1">
      <c r="A2396" s="273"/>
      <c r="B2396" s="273"/>
      <c r="C2396" s="273"/>
      <c r="D2396" s="273"/>
      <c r="E2396" s="273"/>
      <c r="F2396" s="273"/>
      <c r="G2396" s="273"/>
      <c r="H2396" s="273"/>
      <c r="I2396" s="273"/>
    </row>
    <row r="2397" spans="1:9" s="135" customFormat="1" ht="20.25" customHeight="1">
      <c r="A2397" s="273"/>
      <c r="B2397" s="273"/>
      <c r="C2397" s="273"/>
      <c r="D2397" s="273"/>
      <c r="E2397" s="273"/>
      <c r="F2397" s="273"/>
      <c r="G2397" s="273"/>
      <c r="H2397" s="273"/>
      <c r="I2397" s="273"/>
    </row>
    <row r="2398" spans="1:9" s="135" customFormat="1" ht="20.25" customHeight="1">
      <c r="A2398" s="273"/>
      <c r="B2398" s="273"/>
      <c r="C2398" s="273"/>
      <c r="D2398" s="273"/>
      <c r="E2398" s="273"/>
      <c r="F2398" s="273"/>
      <c r="G2398" s="273"/>
      <c r="H2398" s="273"/>
      <c r="I2398" s="273"/>
    </row>
    <row r="2399" spans="1:9" s="135" customFormat="1" ht="20.25" customHeight="1">
      <c r="A2399" s="273"/>
      <c r="F2399" s="273"/>
      <c r="G2399" s="273"/>
      <c r="H2399" s="273"/>
      <c r="I2399" s="273"/>
    </row>
    <row r="2400" spans="1:9" s="135" customFormat="1" ht="20.25" customHeight="1">
      <c r="A2400" s="273"/>
      <c r="B2400" s="273"/>
      <c r="C2400" s="273"/>
      <c r="D2400" s="273"/>
      <c r="E2400" s="273"/>
      <c r="F2400" s="273"/>
      <c r="G2400" s="273"/>
      <c r="H2400" s="273"/>
      <c r="I2400" s="273"/>
    </row>
    <row r="2401" spans="1:8" s="135" customFormat="1" ht="30" customHeight="1">
      <c r="A2401" s="273"/>
      <c r="B2401" s="605" t="s">
        <v>993</v>
      </c>
      <c r="C2401" s="605"/>
      <c r="D2401" s="605"/>
      <c r="E2401" s="605"/>
      <c r="F2401" s="273"/>
      <c r="G2401" s="273"/>
      <c r="H2401" s="273"/>
    </row>
    <row r="2402" s="135" customFormat="1" ht="20.25" customHeight="1"/>
    <row r="2403" s="135" customFormat="1" ht="20.25" customHeight="1"/>
    <row r="2404" s="135" customFormat="1" ht="20.25" customHeight="1"/>
    <row r="2405" s="135" customFormat="1" ht="20.25" customHeight="1"/>
    <row r="2406" s="135" customFormat="1" ht="20.25" customHeight="1"/>
    <row r="2407" s="135" customFormat="1" ht="20.25" customHeight="1"/>
    <row r="2408" s="135" customFormat="1" ht="20.25" customHeight="1"/>
    <row r="2409" s="135" customFormat="1" ht="20.25" customHeight="1"/>
    <row r="2410" s="135" customFormat="1" ht="20.25" customHeight="1"/>
    <row r="2411" s="135" customFormat="1" ht="20.25" customHeight="1"/>
    <row r="2412" s="135" customFormat="1" ht="20.25" customHeight="1"/>
    <row r="2413" s="135" customFormat="1" ht="20.25" customHeight="1">
      <c r="I2413" s="272"/>
    </row>
    <row r="2414" s="135" customFormat="1" ht="20.25" customHeight="1">
      <c r="I2414" s="430"/>
    </row>
    <row r="2415" spans="1:9" s="135" customFormat="1" ht="20.25" customHeight="1">
      <c r="A2415" s="273"/>
      <c r="E2415" s="273"/>
      <c r="F2415" s="273"/>
      <c r="G2415" s="273"/>
      <c r="H2415" s="273"/>
      <c r="I2415" s="430">
        <v>37</v>
      </c>
    </row>
    <row r="2416" spans="1:9" s="135" customFormat="1" ht="20.25" customHeight="1">
      <c r="A2416" s="273"/>
      <c r="E2416" s="273"/>
      <c r="F2416" s="273"/>
      <c r="G2416" s="273"/>
      <c r="H2416" s="273"/>
      <c r="I2416" s="430"/>
    </row>
    <row r="2417" spans="1:9" s="135" customFormat="1" ht="20.25" customHeight="1">
      <c r="A2417" s="273"/>
      <c r="E2417" s="273"/>
      <c r="F2417" s="273"/>
      <c r="G2417" s="273"/>
      <c r="H2417" s="273"/>
      <c r="I2417" s="272"/>
    </row>
    <row r="2418" spans="1:9" s="135" customFormat="1" ht="30" customHeight="1">
      <c r="A2418" s="278"/>
      <c r="B2418" s="608" t="s">
        <v>982</v>
      </c>
      <c r="C2418" s="608"/>
      <c r="D2418" s="608"/>
      <c r="E2418" s="608"/>
      <c r="F2418" s="608"/>
      <c r="G2418" s="608"/>
      <c r="I2418" s="272"/>
    </row>
    <row r="2419" spans="1:9" s="135" customFormat="1" ht="20.25" customHeight="1">
      <c r="A2419" s="278"/>
      <c r="C2419" s="278"/>
      <c r="D2419" s="278"/>
      <c r="E2419" s="278"/>
      <c r="F2419" s="278"/>
      <c r="G2419" s="278"/>
      <c r="I2419" s="272"/>
    </row>
    <row r="2420" spans="1:9" s="135" customFormat="1" ht="20.25" customHeight="1">
      <c r="A2420" s="609" t="s">
        <v>312</v>
      </c>
      <c r="B2420" s="609"/>
      <c r="C2420" s="609"/>
      <c r="D2420" s="609"/>
      <c r="E2420" s="609"/>
      <c r="F2420" s="609"/>
      <c r="G2420" s="609"/>
      <c r="H2420" s="609"/>
      <c r="I2420" s="609"/>
    </row>
    <row r="2421" spans="1:9" s="135" customFormat="1" ht="20.25" customHeight="1">
      <c r="A2421" s="609" t="s">
        <v>1250</v>
      </c>
      <c r="B2421" s="609"/>
      <c r="C2421" s="609"/>
      <c r="D2421" s="609"/>
      <c r="E2421" s="609"/>
      <c r="F2421" s="609"/>
      <c r="G2421" s="609"/>
      <c r="H2421" s="609"/>
      <c r="I2421" s="609"/>
    </row>
    <row r="2422" spans="1:9" s="135" customFormat="1" ht="20.25" customHeight="1">
      <c r="A2422" s="518" t="s">
        <v>1249</v>
      </c>
      <c r="B2422" s="518"/>
      <c r="C2422" s="518"/>
      <c r="D2422" s="518"/>
      <c r="E2422" s="518"/>
      <c r="F2422" s="518"/>
      <c r="G2422" s="518"/>
      <c r="H2422" s="518"/>
      <c r="I2422" s="518"/>
    </row>
    <row r="2423" spans="1:9" s="135" customFormat="1" ht="20.25" customHeight="1">
      <c r="A2423" s="518" t="s">
        <v>1251</v>
      </c>
      <c r="B2423" s="518"/>
      <c r="C2423" s="518"/>
      <c r="D2423" s="518"/>
      <c r="E2423" s="518"/>
      <c r="F2423" s="518"/>
      <c r="G2423" s="518"/>
      <c r="H2423" s="518"/>
      <c r="I2423" s="518"/>
    </row>
    <row r="2424" spans="1:9" s="135" customFormat="1" ht="20.25" customHeight="1">
      <c r="A2424" s="191"/>
      <c r="B2424" s="518" t="s">
        <v>920</v>
      </c>
      <c r="C2424" s="518"/>
      <c r="D2424" s="518"/>
      <c r="E2424" s="518"/>
      <c r="F2424" s="518"/>
      <c r="G2424" s="518"/>
      <c r="H2424" s="518"/>
      <c r="I2424" s="518"/>
    </row>
    <row r="2425" spans="1:8" s="135" customFormat="1" ht="20.25" customHeight="1">
      <c r="A2425" s="40"/>
      <c r="B2425" s="39"/>
      <c r="C2425"/>
      <c r="D2425" s="487" t="s">
        <v>682</v>
      </c>
      <c r="E2425" s="487"/>
      <c r="F2425" s="487"/>
      <c r="G2425" s="40"/>
      <c r="H2425" s="40"/>
    </row>
    <row r="2426" spans="1:8" s="135" customFormat="1" ht="20.25" customHeight="1">
      <c r="A2426" s="40"/>
      <c r="B2426" s="40"/>
      <c r="C2426" s="40"/>
      <c r="D2426" s="40"/>
      <c r="E2426" s="40"/>
      <c r="F2426" s="40"/>
      <c r="G2426" s="40"/>
      <c r="H2426" s="40"/>
    </row>
    <row r="2427" spans="1:9" s="135" customFormat="1" ht="20.25" customHeight="1">
      <c r="A2427" s="612" t="s">
        <v>683</v>
      </c>
      <c r="B2427" s="491" t="s">
        <v>688</v>
      </c>
      <c r="C2427" s="492"/>
      <c r="D2427" s="5" t="s">
        <v>686</v>
      </c>
      <c r="E2427" s="5" t="s">
        <v>712</v>
      </c>
      <c r="F2427" s="5" t="s">
        <v>686</v>
      </c>
      <c r="G2427" s="510" t="s">
        <v>713</v>
      </c>
      <c r="H2427" s="511"/>
      <c r="I2427" s="6" t="s">
        <v>714</v>
      </c>
    </row>
    <row r="2428" spans="1:9" s="135" customFormat="1" ht="30" customHeight="1">
      <c r="A2428" s="613"/>
      <c r="B2428" s="493"/>
      <c r="C2428" s="494"/>
      <c r="D2428" s="7" t="s">
        <v>656</v>
      </c>
      <c r="E2428" s="7" t="s">
        <v>715</v>
      </c>
      <c r="F2428" s="7" t="s">
        <v>657</v>
      </c>
      <c r="G2428" s="8" t="s">
        <v>706</v>
      </c>
      <c r="H2428" s="9" t="s">
        <v>707</v>
      </c>
      <c r="I2428" s="10" t="s">
        <v>717</v>
      </c>
    </row>
    <row r="2429" spans="1:9" s="135" customFormat="1" ht="20.25" customHeight="1">
      <c r="A2429" s="13">
        <v>1</v>
      </c>
      <c r="B2429" s="295">
        <v>2</v>
      </c>
      <c r="C2429" s="296"/>
      <c r="D2429" s="12">
        <v>3</v>
      </c>
      <c r="E2429" s="12">
        <v>4</v>
      </c>
      <c r="F2429" s="12">
        <v>5</v>
      </c>
      <c r="G2429" s="12">
        <v>6</v>
      </c>
      <c r="H2429" s="12">
        <v>7</v>
      </c>
      <c r="I2429" s="13">
        <v>8</v>
      </c>
    </row>
    <row r="2430" spans="1:9" s="135" customFormat="1" ht="20.25" customHeight="1">
      <c r="A2430" s="188" t="s">
        <v>983</v>
      </c>
      <c r="B2430" s="610" t="s">
        <v>989</v>
      </c>
      <c r="C2430" s="611"/>
      <c r="D2430" s="151">
        <v>2581</v>
      </c>
      <c r="E2430" s="290">
        <v>5000</v>
      </c>
      <c r="F2430" s="25">
        <v>6419</v>
      </c>
      <c r="G2430" s="15">
        <f>F2430/D2430</f>
        <v>2.487020534676482</v>
      </c>
      <c r="H2430" s="16">
        <f>F2430/E2430</f>
        <v>1.2838</v>
      </c>
      <c r="I2430" s="16">
        <f>F2430/F2433</f>
        <v>0.6394540881129679</v>
      </c>
    </row>
    <row r="2431" spans="1:9" s="135" customFormat="1" ht="20.25" customHeight="1">
      <c r="A2431" s="4" t="s">
        <v>984</v>
      </c>
      <c r="B2431" s="610" t="s">
        <v>985</v>
      </c>
      <c r="C2431" s="611"/>
      <c r="D2431" s="151">
        <v>3493</v>
      </c>
      <c r="E2431" s="290">
        <v>0</v>
      </c>
      <c r="F2431" s="25">
        <v>3619.25</v>
      </c>
      <c r="G2431" s="15">
        <f>F2431/D2431</f>
        <v>1.0361437160034355</v>
      </c>
      <c r="H2431" s="16" t="e">
        <f>F2431/E2431</f>
        <v>#DIV/0!</v>
      </c>
      <c r="I2431" s="16">
        <f>F2431/F2433</f>
        <v>0.3605459118870321</v>
      </c>
    </row>
    <row r="2432" spans="1:9" s="135" customFormat="1" ht="20.25" customHeight="1">
      <c r="A2432" s="304"/>
      <c r="B2432" s="610" t="s">
        <v>704</v>
      </c>
      <c r="C2432" s="611"/>
      <c r="D2432" s="151">
        <v>0</v>
      </c>
      <c r="E2432" s="290">
        <v>0</v>
      </c>
      <c r="F2432" s="14">
        <v>0</v>
      </c>
      <c r="G2432" s="15" t="e">
        <f>F2432/D2432</f>
        <v>#DIV/0!</v>
      </c>
      <c r="H2432" s="16" t="e">
        <f>F2432/E2432</f>
        <v>#DIV/0!</v>
      </c>
      <c r="I2432" s="16">
        <f>F2432/F2433</f>
        <v>0</v>
      </c>
    </row>
    <row r="2433" spans="1:9" s="135" customFormat="1" ht="30" customHeight="1">
      <c r="A2433" s="17"/>
      <c r="B2433" s="548" t="s">
        <v>919</v>
      </c>
      <c r="C2433" s="549"/>
      <c r="D2433" s="288">
        <f>D2430+D2432+D2431</f>
        <v>6074</v>
      </c>
      <c r="E2433" s="288">
        <f>E2430+E2432+E2431</f>
        <v>5000</v>
      </c>
      <c r="F2433" s="301">
        <f>F2430+F2432+F2431</f>
        <v>10038.25</v>
      </c>
      <c r="G2433" s="265">
        <f>F2433/D2433</f>
        <v>1.652658873888706</v>
      </c>
      <c r="H2433" s="266">
        <f>F2433/E2433</f>
        <v>2.00765</v>
      </c>
      <c r="I2433" s="266">
        <f>SUM(I2430:I2432)</f>
        <v>1</v>
      </c>
    </row>
    <row r="2434" spans="1:9" s="135" customFormat="1" ht="20.25" customHeight="1">
      <c r="A2434" s="282"/>
      <c r="B2434" s="283"/>
      <c r="C2434" s="283"/>
      <c r="D2434" s="284"/>
      <c r="E2434" s="285"/>
      <c r="F2434" s="285"/>
      <c r="G2434" s="286"/>
      <c r="H2434" s="287"/>
      <c r="I2434" s="287"/>
    </row>
    <row r="2435" spans="1:9" s="135" customFormat="1" ht="20.25" customHeight="1">
      <c r="A2435" s="599" t="s">
        <v>1252</v>
      </c>
      <c r="B2435" s="599"/>
      <c r="C2435" s="599"/>
      <c r="D2435" s="599"/>
      <c r="E2435" s="599"/>
      <c r="F2435" s="599"/>
      <c r="G2435" s="599"/>
      <c r="H2435" s="599"/>
      <c r="I2435" s="599"/>
    </row>
    <row r="2436" spans="1:9" s="135" customFormat="1" ht="20.25" customHeight="1">
      <c r="A2436" s="599" t="s">
        <v>1253</v>
      </c>
      <c r="B2436" s="599"/>
      <c r="C2436" s="599"/>
      <c r="D2436" s="599"/>
      <c r="E2436" s="599"/>
      <c r="F2436" s="599"/>
      <c r="G2436" s="599"/>
      <c r="H2436" s="599"/>
      <c r="I2436" s="599"/>
    </row>
    <row r="2437" spans="1:9" s="135" customFormat="1" ht="20.25" customHeight="1">
      <c r="A2437" s="599" t="s">
        <v>1254</v>
      </c>
      <c r="B2437" s="599"/>
      <c r="C2437" s="599"/>
      <c r="D2437" s="599"/>
      <c r="E2437" s="599"/>
      <c r="F2437" s="599"/>
      <c r="G2437" s="599"/>
      <c r="H2437" s="599"/>
      <c r="I2437" s="599"/>
    </row>
    <row r="2438" spans="1:9" s="135" customFormat="1" ht="20.25" customHeight="1">
      <c r="A2438" s="599" t="s">
        <v>1255</v>
      </c>
      <c r="B2438" s="599"/>
      <c r="C2438" s="599"/>
      <c r="D2438" s="599"/>
      <c r="E2438" s="599"/>
      <c r="F2438" s="599"/>
      <c r="G2438" s="599"/>
      <c r="H2438" s="599"/>
      <c r="I2438" s="599"/>
    </row>
    <row r="2439" spans="1:9" s="135" customFormat="1" ht="20.25" customHeight="1">
      <c r="A2439" s="599" t="s">
        <v>855</v>
      </c>
      <c r="B2439" s="599"/>
      <c r="C2439" s="599"/>
      <c r="D2439" s="599"/>
      <c r="E2439" s="599"/>
      <c r="F2439" s="599"/>
      <c r="G2439" s="599"/>
      <c r="H2439" s="599"/>
      <c r="I2439" s="599"/>
    </row>
    <row r="2440" spans="1:8" s="135" customFormat="1" ht="20.25" customHeight="1">
      <c r="A2440" s="40"/>
      <c r="B2440" s="40"/>
      <c r="C2440"/>
      <c r="D2440" s="607" t="s">
        <v>682</v>
      </c>
      <c r="E2440" s="607"/>
      <c r="F2440" s="607"/>
      <c r="G2440" s="40"/>
      <c r="H2440" s="40"/>
    </row>
    <row r="2441" spans="1:8" s="135" customFormat="1" ht="10.5" customHeight="1">
      <c r="A2441" s="40"/>
      <c r="B2441" s="40"/>
      <c r="C2441" s="40"/>
      <c r="D2441" s="40"/>
      <c r="E2441" s="40"/>
      <c r="F2441" s="40"/>
      <c r="G2441" s="40"/>
      <c r="H2441" s="40"/>
    </row>
    <row r="2442" spans="1:9" s="135" customFormat="1" ht="20.25" customHeight="1">
      <c r="A2442" s="22" t="s">
        <v>683</v>
      </c>
      <c r="B2442" s="491" t="s">
        <v>688</v>
      </c>
      <c r="C2442" s="492"/>
      <c r="D2442" s="5" t="s">
        <v>686</v>
      </c>
      <c r="E2442" s="5" t="s">
        <v>712</v>
      </c>
      <c r="F2442" s="5" t="s">
        <v>686</v>
      </c>
      <c r="G2442" s="510" t="s">
        <v>713</v>
      </c>
      <c r="H2442" s="511"/>
      <c r="I2442" s="6" t="s">
        <v>714</v>
      </c>
    </row>
    <row r="2443" spans="1:9" s="135" customFormat="1" ht="20.25" customHeight="1">
      <c r="A2443" s="23" t="s">
        <v>97</v>
      </c>
      <c r="B2443" s="493"/>
      <c r="C2443" s="494"/>
      <c r="D2443" s="7" t="s">
        <v>656</v>
      </c>
      <c r="E2443" s="7" t="s">
        <v>715</v>
      </c>
      <c r="F2443" s="7" t="s">
        <v>657</v>
      </c>
      <c r="G2443" s="8" t="s">
        <v>706</v>
      </c>
      <c r="H2443" s="9" t="s">
        <v>707</v>
      </c>
      <c r="I2443" s="10" t="s">
        <v>717</v>
      </c>
    </row>
    <row r="2444" spans="1:9" s="135" customFormat="1" ht="20.25" customHeight="1">
      <c r="A2444" s="13">
        <v>1</v>
      </c>
      <c r="B2444" s="535">
        <v>2</v>
      </c>
      <c r="C2444" s="536"/>
      <c r="D2444" s="12">
        <v>3</v>
      </c>
      <c r="E2444" s="12">
        <v>4</v>
      </c>
      <c r="F2444" s="12">
        <v>5</v>
      </c>
      <c r="G2444" s="12">
        <v>6</v>
      </c>
      <c r="H2444" s="12">
        <v>7</v>
      </c>
      <c r="I2444" s="13">
        <v>8</v>
      </c>
    </row>
    <row r="2445" spans="1:9" s="135" customFormat="1" ht="20.25" customHeight="1">
      <c r="A2445" s="4">
        <v>111</v>
      </c>
      <c r="B2445" s="504" t="s">
        <v>540</v>
      </c>
      <c r="C2445" s="505"/>
      <c r="D2445" s="25">
        <v>74124.25</v>
      </c>
      <c r="E2445" s="25">
        <v>196000</v>
      </c>
      <c r="F2445" s="25">
        <v>75290.41</v>
      </c>
      <c r="G2445" s="15">
        <f aca="true" t="shared" si="102" ref="G2445:G2450">F2445/D2445</f>
        <v>1.015732503195648</v>
      </c>
      <c r="H2445" s="16">
        <f aca="true" t="shared" si="103" ref="H2445:H2450">F2445/E2445</f>
        <v>0.3841347448979592</v>
      </c>
      <c r="I2445" s="16">
        <f>F2445/F2450</f>
        <v>0.26386983455006374</v>
      </c>
    </row>
    <row r="2446" spans="1:9" s="135" customFormat="1" ht="20.25" customHeight="1">
      <c r="A2446" s="4">
        <v>130</v>
      </c>
      <c r="B2446" s="504" t="s">
        <v>541</v>
      </c>
      <c r="C2446" s="505"/>
      <c r="D2446" s="234">
        <v>31616.69</v>
      </c>
      <c r="E2446" s="14">
        <v>135000</v>
      </c>
      <c r="F2446" s="14">
        <v>109044.4</v>
      </c>
      <c r="G2446" s="15">
        <f t="shared" si="102"/>
        <v>3.4489505384656014</v>
      </c>
      <c r="H2446" s="16">
        <f t="shared" si="103"/>
        <v>0.8077362962962963</v>
      </c>
      <c r="I2446" s="16">
        <f>F2446/F2450</f>
        <v>0.3821672346665527</v>
      </c>
    </row>
    <row r="2447" spans="1:9" s="135" customFormat="1" ht="20.25" customHeight="1">
      <c r="A2447" s="4">
        <v>132</v>
      </c>
      <c r="B2447" s="504" t="s">
        <v>542</v>
      </c>
      <c r="C2447" s="505"/>
      <c r="D2447" s="238">
        <v>21574.28</v>
      </c>
      <c r="E2447" s="25">
        <v>48300</v>
      </c>
      <c r="F2447" s="25">
        <v>38916.42</v>
      </c>
      <c r="G2447" s="15">
        <f t="shared" si="102"/>
        <v>1.8038340097560615</v>
      </c>
      <c r="H2447" s="16">
        <f t="shared" si="103"/>
        <v>0.8057229813664596</v>
      </c>
      <c r="I2447" s="16">
        <f>F2447/F2450</f>
        <v>0.13639013662803523</v>
      </c>
    </row>
    <row r="2448" spans="1:9" s="135" customFormat="1" ht="20.25" customHeight="1">
      <c r="A2448" s="4">
        <v>200</v>
      </c>
      <c r="B2448" s="504" t="s">
        <v>543</v>
      </c>
      <c r="C2448" s="505"/>
      <c r="D2448" s="54">
        <v>0</v>
      </c>
      <c r="E2448" s="25">
        <v>0</v>
      </c>
      <c r="F2448" s="25">
        <v>0</v>
      </c>
      <c r="G2448" s="15" t="e">
        <f t="shared" si="102"/>
        <v>#DIV/0!</v>
      </c>
      <c r="H2448" s="16" t="e">
        <f t="shared" si="103"/>
        <v>#DIV/0!</v>
      </c>
      <c r="I2448" s="16">
        <f>F2448/F2450</f>
        <v>0</v>
      </c>
    </row>
    <row r="2449" spans="1:9" s="135" customFormat="1" ht="20.25" customHeight="1">
      <c r="A2449" s="4">
        <v>300</v>
      </c>
      <c r="B2449" s="504" t="s">
        <v>544</v>
      </c>
      <c r="C2449" s="505"/>
      <c r="D2449" s="25">
        <v>0</v>
      </c>
      <c r="E2449" s="25">
        <v>150000</v>
      </c>
      <c r="F2449" s="25">
        <v>62080.4</v>
      </c>
      <c r="G2449" s="15" t="e">
        <f t="shared" si="102"/>
        <v>#DIV/0!</v>
      </c>
      <c r="H2449" s="16">
        <f t="shared" si="103"/>
        <v>0.41386933333333337</v>
      </c>
      <c r="I2449" s="16">
        <f>F2449/F2450</f>
        <v>0.21757279415534828</v>
      </c>
    </row>
    <row r="2450" spans="1:9" s="135" customFormat="1" ht="30" customHeight="1">
      <c r="A2450" s="17"/>
      <c r="B2450" s="548" t="s">
        <v>95</v>
      </c>
      <c r="C2450" s="549"/>
      <c r="D2450" s="288">
        <f>D2445+D2446+D2447+D2448+D2449</f>
        <v>127315.22</v>
      </c>
      <c r="E2450" s="211">
        <f>E2445+E2446+E2447+E2448+E2449</f>
        <v>529300</v>
      </c>
      <c r="F2450" s="211">
        <f>F2445+F2446+F2447+F2448+F2449</f>
        <v>285331.63</v>
      </c>
      <c r="G2450" s="265">
        <f t="shared" si="102"/>
        <v>2.2411431249146805</v>
      </c>
      <c r="H2450" s="266">
        <f t="shared" si="103"/>
        <v>0.5390735499716607</v>
      </c>
      <c r="I2450" s="266">
        <f>SUM(I2445:I2449)</f>
        <v>0.9999999999999999</v>
      </c>
    </row>
    <row r="2451" spans="1:8" s="135" customFormat="1" ht="20.25" customHeight="1">
      <c r="A2451" s="49"/>
      <c r="B2451" s="49"/>
      <c r="C2451" s="49"/>
      <c r="D2451" s="49"/>
      <c r="E2451" s="208"/>
      <c r="F2451" s="49"/>
      <c r="G2451" s="49"/>
      <c r="H2451" s="40"/>
    </row>
    <row r="2452" spans="1:9" s="135" customFormat="1" ht="20.25" customHeight="1">
      <c r="A2452" s="299"/>
      <c r="B2452" s="600" t="s">
        <v>1256</v>
      </c>
      <c r="C2452" s="600"/>
      <c r="D2452" s="600"/>
      <c r="E2452" s="600"/>
      <c r="F2452" s="600"/>
      <c r="G2452" s="600"/>
      <c r="H2452" s="600"/>
      <c r="I2452" s="600"/>
    </row>
    <row r="2453" spans="1:9" s="135" customFormat="1" ht="20.25" customHeight="1">
      <c r="A2453" s="600" t="s">
        <v>1257</v>
      </c>
      <c r="B2453" s="600"/>
      <c r="C2453" s="600"/>
      <c r="D2453" s="600"/>
      <c r="E2453" s="600"/>
      <c r="F2453" s="600"/>
      <c r="G2453" s="600"/>
      <c r="H2453" s="600"/>
      <c r="I2453" s="600"/>
    </row>
    <row r="2454" spans="1:9" s="135" customFormat="1" ht="20.25" customHeight="1">
      <c r="A2454" s="600" t="s">
        <v>1258</v>
      </c>
      <c r="B2454" s="600"/>
      <c r="C2454" s="600"/>
      <c r="D2454" s="600"/>
      <c r="E2454" s="600"/>
      <c r="F2454" s="600"/>
      <c r="G2454" s="600"/>
      <c r="H2454" s="600"/>
      <c r="I2454" s="600"/>
    </row>
    <row r="2455" spans="1:9" s="135" customFormat="1" ht="20.25" customHeight="1">
      <c r="A2455" s="503" t="s">
        <v>1242</v>
      </c>
      <c r="B2455" s="503"/>
      <c r="C2455" s="503"/>
      <c r="D2455" s="503"/>
      <c r="E2455" s="503"/>
      <c r="F2455" s="503"/>
      <c r="G2455" s="503"/>
      <c r="H2455" s="503"/>
      <c r="I2455" s="503"/>
    </row>
    <row r="2456" spans="1:9" s="135" customFormat="1" ht="20.25" customHeight="1">
      <c r="A2456" s="486" t="s">
        <v>1259</v>
      </c>
      <c r="B2456" s="486"/>
      <c r="C2456" s="486"/>
      <c r="D2456" s="486"/>
      <c r="E2456" s="486"/>
      <c r="F2456" s="486"/>
      <c r="G2456" s="486"/>
      <c r="H2456" s="486"/>
      <c r="I2456" s="486"/>
    </row>
    <row r="2457" spans="1:9" s="135" customFormat="1" ht="20.25" customHeight="1">
      <c r="A2457" s="486" t="s">
        <v>1241</v>
      </c>
      <c r="B2457" s="486"/>
      <c r="C2457" s="486"/>
      <c r="D2457" s="486"/>
      <c r="E2457" s="486"/>
      <c r="F2457" s="486"/>
      <c r="G2457" s="486"/>
      <c r="H2457" s="486"/>
      <c r="I2457" s="486"/>
    </row>
    <row r="2458" spans="1:9" s="135" customFormat="1" ht="20.25" customHeight="1">
      <c r="A2458" s="486" t="s">
        <v>1240</v>
      </c>
      <c r="B2458" s="486"/>
      <c r="C2458" s="486"/>
      <c r="D2458" s="486"/>
      <c r="E2458" s="486"/>
      <c r="F2458" s="486"/>
      <c r="G2458" s="486"/>
      <c r="H2458" s="486"/>
      <c r="I2458" s="486"/>
    </row>
    <row r="2459" spans="1:9" s="135" customFormat="1" ht="20.25" customHeight="1">
      <c r="A2459" s="486" t="s">
        <v>1239</v>
      </c>
      <c r="B2459" s="486"/>
      <c r="C2459" s="486"/>
      <c r="D2459" s="486"/>
      <c r="E2459" s="486"/>
      <c r="F2459" s="486"/>
      <c r="G2459" s="486"/>
      <c r="H2459" s="486"/>
      <c r="I2459" s="486"/>
    </row>
    <row r="2460" spans="1:9" s="135" customFormat="1" ht="20.25" customHeight="1">
      <c r="A2460" s="486" t="s">
        <v>390</v>
      </c>
      <c r="B2460" s="486"/>
      <c r="C2460" s="486"/>
      <c r="D2460" s="486"/>
      <c r="E2460" s="486"/>
      <c r="F2460" s="486"/>
      <c r="G2460" s="486"/>
      <c r="H2460" s="486"/>
      <c r="I2460" s="486"/>
    </row>
    <row r="2461" spans="1:9" s="135" customFormat="1" ht="20.25" customHeight="1">
      <c r="A2461" s="486" t="s">
        <v>391</v>
      </c>
      <c r="B2461" s="486"/>
      <c r="C2461" s="486"/>
      <c r="D2461" s="486"/>
      <c r="E2461" s="486"/>
      <c r="F2461" s="486"/>
      <c r="G2461" s="486"/>
      <c r="H2461" s="486"/>
      <c r="I2461" s="486"/>
    </row>
    <row r="2462" spans="1:9" s="135" customFormat="1" ht="20.25" customHeight="1">
      <c r="A2462" s="486" t="s">
        <v>1238</v>
      </c>
      <c r="B2462" s="486"/>
      <c r="C2462" s="486"/>
      <c r="D2462" s="486"/>
      <c r="E2462" s="486"/>
      <c r="F2462" s="486"/>
      <c r="G2462" s="486"/>
      <c r="H2462" s="486"/>
      <c r="I2462" s="486"/>
    </row>
    <row r="2463" spans="1:9" s="135" customFormat="1" ht="20.25" customHeight="1">
      <c r="A2463" s="518" t="s">
        <v>392</v>
      </c>
      <c r="B2463" s="518"/>
      <c r="C2463" s="518"/>
      <c r="D2463" s="518"/>
      <c r="E2463" s="518"/>
      <c r="F2463" s="518"/>
      <c r="G2463" s="518"/>
      <c r="H2463" s="518"/>
      <c r="I2463" s="518"/>
    </row>
    <row r="2464" spans="1:9" s="135" customFormat="1" ht="20.25" customHeight="1">
      <c r="A2464" s="273"/>
      <c r="B2464" s="273"/>
      <c r="C2464" s="273"/>
      <c r="D2464" s="273"/>
      <c r="E2464" s="273"/>
      <c r="F2464" s="273"/>
      <c r="G2464" s="273"/>
      <c r="H2464" s="273"/>
      <c r="I2464" s="273"/>
    </row>
    <row r="2465" spans="1:8" s="135" customFormat="1" ht="25.5" customHeight="1">
      <c r="A2465" s="273"/>
      <c r="B2465" s="605" t="s">
        <v>992</v>
      </c>
      <c r="C2465" s="605"/>
      <c r="D2465" s="605"/>
      <c r="E2465" s="273"/>
      <c r="F2465" s="273"/>
      <c r="G2465" s="273"/>
      <c r="H2465" s="273"/>
    </row>
    <row r="2466" spans="1:8" s="135" customFormat="1" ht="20.25" customHeight="1">
      <c r="A2466" s="273"/>
      <c r="B2466" s="273"/>
      <c r="C2466" s="273"/>
      <c r="D2466" s="273"/>
      <c r="E2466" s="273"/>
      <c r="F2466" s="273"/>
      <c r="G2466" s="273"/>
      <c r="H2466" s="273"/>
    </row>
    <row r="2467" spans="1:9" s="135" customFormat="1" ht="20.25" customHeight="1">
      <c r="A2467" s="280"/>
      <c r="B2467" s="518" t="s">
        <v>386</v>
      </c>
      <c r="C2467" s="518"/>
      <c r="D2467" s="518"/>
      <c r="E2467" s="518"/>
      <c r="F2467" s="518"/>
      <c r="G2467" s="518"/>
      <c r="H2467" s="518"/>
      <c r="I2467" s="518"/>
    </row>
    <row r="2468" spans="1:9" s="135" customFormat="1" ht="20.25" customHeight="1">
      <c r="A2468" s="517" t="s">
        <v>383</v>
      </c>
      <c r="B2468" s="517"/>
      <c r="C2468" s="517"/>
      <c r="D2468" s="517"/>
      <c r="E2468" s="517"/>
      <c r="F2468" s="517"/>
      <c r="G2468" s="517"/>
      <c r="H2468" s="517"/>
      <c r="I2468" s="517"/>
    </row>
    <row r="2469" spans="1:9" s="135" customFormat="1" ht="20.25" customHeight="1">
      <c r="A2469" s="518" t="s">
        <v>387</v>
      </c>
      <c r="B2469" s="518"/>
      <c r="C2469" s="518"/>
      <c r="D2469" s="518"/>
      <c r="E2469" s="518"/>
      <c r="F2469" s="518"/>
      <c r="G2469" s="518"/>
      <c r="H2469" s="518"/>
      <c r="I2469" s="518"/>
    </row>
    <row r="2470" spans="1:9" s="135" customFormat="1" ht="25.5" customHeight="1">
      <c r="A2470" s="518" t="s">
        <v>388</v>
      </c>
      <c r="B2470" s="518"/>
      <c r="C2470" s="518"/>
      <c r="D2470" s="518"/>
      <c r="E2470" s="518"/>
      <c r="F2470" s="518"/>
      <c r="G2470" s="518"/>
      <c r="H2470" s="518"/>
      <c r="I2470" s="518"/>
    </row>
    <row r="2471" spans="1:9" s="135" customFormat="1" ht="20.25" customHeight="1">
      <c r="A2471" s="518" t="s">
        <v>384</v>
      </c>
      <c r="B2471" s="518"/>
      <c r="C2471" s="518"/>
      <c r="D2471" s="518"/>
      <c r="E2471" s="518"/>
      <c r="F2471" s="518"/>
      <c r="G2471" s="518"/>
      <c r="H2471" s="518"/>
      <c r="I2471" s="518"/>
    </row>
    <row r="2472" spans="1:9" s="135" customFormat="1" ht="23.25" customHeight="1">
      <c r="A2472" s="273"/>
      <c r="B2472" s="517" t="s">
        <v>389</v>
      </c>
      <c r="C2472" s="517"/>
      <c r="D2472" s="517"/>
      <c r="E2472" s="517"/>
      <c r="F2472" s="517"/>
      <c r="G2472" s="517"/>
      <c r="H2472" s="517"/>
      <c r="I2472" s="517"/>
    </row>
    <row r="2473" spans="1:9" s="135" customFormat="1" ht="20.25" customHeight="1">
      <c r="A2473" s="518" t="s">
        <v>385</v>
      </c>
      <c r="B2473" s="518"/>
      <c r="C2473" s="518"/>
      <c r="D2473" s="518"/>
      <c r="E2473" s="518"/>
      <c r="F2473" s="518"/>
      <c r="G2473" s="518"/>
      <c r="H2473" s="518"/>
      <c r="I2473" s="518"/>
    </row>
    <row r="2474" spans="1:8" s="135" customFormat="1" ht="20.25" customHeight="1">
      <c r="A2474" s="273"/>
      <c r="F2474" s="273"/>
      <c r="G2474" s="273"/>
      <c r="H2474" s="273"/>
    </row>
    <row r="2475" spans="1:9" s="135" customFormat="1" ht="20.25" customHeight="1">
      <c r="A2475" s="273"/>
      <c r="B2475" s="605" t="s">
        <v>993</v>
      </c>
      <c r="C2475" s="605"/>
      <c r="D2475" s="605"/>
      <c r="E2475" s="605"/>
      <c r="F2475" s="273"/>
      <c r="G2475" s="273"/>
      <c r="H2475" s="273"/>
      <c r="I2475" s="441"/>
    </row>
    <row r="2476" spans="1:8" s="135" customFormat="1" ht="20.25" customHeight="1">
      <c r="A2476" s="273"/>
      <c r="B2476" s="281"/>
      <c r="C2476" s="281"/>
      <c r="D2476" s="281"/>
      <c r="E2476" s="273"/>
      <c r="F2476" s="273"/>
      <c r="G2476" s="273"/>
      <c r="H2476" s="273"/>
    </row>
    <row r="2477" spans="1:9" s="135" customFormat="1" ht="20.25" customHeight="1">
      <c r="A2477" s="273"/>
      <c r="B2477" s="281"/>
      <c r="C2477" s="281"/>
      <c r="D2477" s="281"/>
      <c r="E2477" s="273"/>
      <c r="F2477" s="273"/>
      <c r="G2477" s="273"/>
      <c r="H2477" s="273"/>
      <c r="I2477" s="441">
        <v>38</v>
      </c>
    </row>
    <row r="2478" spans="1:9" s="135" customFormat="1" ht="20.25" customHeight="1">
      <c r="A2478" s="273"/>
      <c r="B2478" s="281"/>
      <c r="C2478" s="281"/>
      <c r="D2478" s="281"/>
      <c r="E2478" s="273"/>
      <c r="F2478" s="273"/>
      <c r="G2478" s="273"/>
      <c r="H2478" s="273"/>
      <c r="I2478" s="272"/>
    </row>
    <row r="2479" spans="1:9" s="135" customFormat="1" ht="20.25" customHeight="1">
      <c r="A2479" s="273"/>
      <c r="B2479" s="281"/>
      <c r="C2479" s="281"/>
      <c r="D2479" s="281"/>
      <c r="E2479" s="273"/>
      <c r="F2479" s="273"/>
      <c r="G2479" s="273"/>
      <c r="H2479" s="273"/>
      <c r="I2479" s="272"/>
    </row>
    <row r="2480" spans="1:9" s="135" customFormat="1" ht="20.25" customHeight="1">
      <c r="A2480" s="273"/>
      <c r="E2480" s="273"/>
      <c r="F2480" s="273"/>
      <c r="G2480" s="273"/>
      <c r="H2480" s="273"/>
      <c r="I2480" s="209"/>
    </row>
    <row r="2481" spans="1:9" s="135" customFormat="1" ht="30" customHeight="1">
      <c r="A2481" s="278"/>
      <c r="B2481" s="608" t="s">
        <v>18</v>
      </c>
      <c r="C2481" s="608"/>
      <c r="D2481" s="608"/>
      <c r="E2481" s="608"/>
      <c r="F2481" s="608"/>
      <c r="G2481" s="608"/>
      <c r="I2481" s="272"/>
    </row>
    <row r="2482" spans="1:9" s="135" customFormat="1" ht="20.25" customHeight="1">
      <c r="A2482" s="278"/>
      <c r="B2482" s="278"/>
      <c r="C2482" s="278"/>
      <c r="D2482" s="278"/>
      <c r="E2482" s="278"/>
      <c r="F2482" s="278"/>
      <c r="G2482" s="278"/>
      <c r="I2482" s="272"/>
    </row>
    <row r="2483" spans="1:9" s="135" customFormat="1" ht="20.25" customHeight="1">
      <c r="A2483" s="278"/>
      <c r="B2483" s="278"/>
      <c r="C2483" s="278"/>
      <c r="D2483" s="278"/>
      <c r="E2483" s="278"/>
      <c r="F2483" s="278"/>
      <c r="G2483" s="278"/>
      <c r="I2483" s="272"/>
    </row>
    <row r="2484" spans="1:9" s="135" customFormat="1" ht="20.25" customHeight="1">
      <c r="A2484" s="278"/>
      <c r="C2484" s="278"/>
      <c r="D2484" s="278"/>
      <c r="E2484" s="278"/>
      <c r="F2484" s="278"/>
      <c r="G2484" s="278"/>
      <c r="I2484" s="272"/>
    </row>
    <row r="2485" spans="1:9" s="135" customFormat="1" ht="20.25" customHeight="1">
      <c r="A2485" s="278"/>
      <c r="B2485" s="278"/>
      <c r="C2485" s="278"/>
      <c r="D2485" s="278"/>
      <c r="E2485" s="278"/>
      <c r="F2485" s="278"/>
      <c r="G2485" s="278"/>
      <c r="I2485" s="272"/>
    </row>
    <row r="2486" spans="1:9" s="135" customFormat="1" ht="20.25" customHeight="1">
      <c r="A2486" s="299"/>
      <c r="B2486" s="600" t="s">
        <v>393</v>
      </c>
      <c r="C2486" s="600"/>
      <c r="D2486" s="600"/>
      <c r="E2486" s="600"/>
      <c r="F2486" s="600"/>
      <c r="G2486" s="600"/>
      <c r="H2486" s="600"/>
      <c r="I2486" s="600"/>
    </row>
    <row r="2487" spans="1:9" s="135" customFormat="1" ht="20.25" customHeight="1">
      <c r="A2487" s="600" t="s">
        <v>394</v>
      </c>
      <c r="B2487" s="600"/>
      <c r="C2487" s="600"/>
      <c r="D2487" s="600"/>
      <c r="E2487" s="600"/>
      <c r="F2487" s="600"/>
      <c r="G2487" s="600"/>
      <c r="H2487" s="600"/>
      <c r="I2487" s="600"/>
    </row>
    <row r="2488" spans="1:9" s="135" customFormat="1" ht="20.25" customHeight="1">
      <c r="A2488" s="99"/>
      <c r="B2488" s="99"/>
      <c r="C2488" s="99"/>
      <c r="D2488" s="99"/>
      <c r="E2488" s="99"/>
      <c r="F2488" s="99"/>
      <c r="G2488" s="99"/>
      <c r="H2488" s="99"/>
      <c r="I2488" s="99"/>
    </row>
    <row r="2489" spans="1:6" s="135" customFormat="1" ht="20.25" customHeight="1">
      <c r="A2489" s="282"/>
      <c r="F2489"/>
    </row>
    <row r="2490" spans="1:8" s="135" customFormat="1" ht="20.25" customHeight="1">
      <c r="A2490" s="40"/>
      <c r="B2490" s="40"/>
      <c r="C2490"/>
      <c r="D2490" s="607" t="s">
        <v>682</v>
      </c>
      <c r="E2490" s="607"/>
      <c r="F2490" s="607"/>
      <c r="G2490" s="40"/>
      <c r="H2490" s="40"/>
    </row>
    <row r="2491" spans="1:8" s="135" customFormat="1" ht="20.25" customHeight="1">
      <c r="A2491" s="40"/>
      <c r="B2491" s="40"/>
      <c r="C2491" s="40"/>
      <c r="D2491" s="40"/>
      <c r="E2491" s="40"/>
      <c r="F2491" s="40"/>
      <c r="G2491" s="40"/>
      <c r="H2491" s="40"/>
    </row>
    <row r="2492" spans="1:9" s="135" customFormat="1" ht="20.25" customHeight="1">
      <c r="A2492" s="22" t="s">
        <v>683</v>
      </c>
      <c r="B2492" s="491" t="s">
        <v>688</v>
      </c>
      <c r="C2492" s="492"/>
      <c r="D2492" s="5" t="s">
        <v>686</v>
      </c>
      <c r="E2492" s="5" t="s">
        <v>712</v>
      </c>
      <c r="F2492" s="5" t="s">
        <v>686</v>
      </c>
      <c r="G2492" s="510" t="s">
        <v>713</v>
      </c>
      <c r="H2492" s="511"/>
      <c r="I2492" s="6" t="s">
        <v>714</v>
      </c>
    </row>
    <row r="2493" spans="1:9" s="135" customFormat="1" ht="20.25" customHeight="1">
      <c r="A2493" s="23" t="s">
        <v>97</v>
      </c>
      <c r="B2493" s="493"/>
      <c r="C2493" s="494"/>
      <c r="D2493" s="7" t="s">
        <v>656</v>
      </c>
      <c r="E2493" s="7" t="s">
        <v>715</v>
      </c>
      <c r="F2493" s="7" t="s">
        <v>657</v>
      </c>
      <c r="G2493" s="8" t="s">
        <v>706</v>
      </c>
      <c r="H2493" s="9" t="s">
        <v>707</v>
      </c>
      <c r="I2493" s="10" t="s">
        <v>717</v>
      </c>
    </row>
    <row r="2494" spans="1:9" s="135" customFormat="1" ht="20.25" customHeight="1">
      <c r="A2494" s="13">
        <v>1</v>
      </c>
      <c r="B2494" s="535">
        <v>2</v>
      </c>
      <c r="C2494" s="536"/>
      <c r="D2494" s="12">
        <v>3</v>
      </c>
      <c r="E2494" s="12">
        <v>4</v>
      </c>
      <c r="F2494" s="12">
        <v>5</v>
      </c>
      <c r="G2494" s="12">
        <v>6</v>
      </c>
      <c r="H2494" s="12">
        <v>7</v>
      </c>
      <c r="I2494" s="13">
        <v>8</v>
      </c>
    </row>
    <row r="2495" spans="1:9" s="135" customFormat="1" ht="20.25" customHeight="1">
      <c r="A2495" s="4">
        <v>111</v>
      </c>
      <c r="B2495" s="504" t="s">
        <v>540</v>
      </c>
      <c r="C2495" s="505"/>
      <c r="D2495" s="25">
        <v>22534.05</v>
      </c>
      <c r="E2495" s="25">
        <v>56032.8</v>
      </c>
      <c r="F2495" s="25">
        <v>22694.96</v>
      </c>
      <c r="G2495" s="15">
        <f aca="true" t="shared" si="104" ref="G2495:G2500">F2495/D2495</f>
        <v>1.0071407492217332</v>
      </c>
      <c r="H2495" s="16">
        <f aca="true" t="shared" si="105" ref="H2495:H2500">F2495/E2495</f>
        <v>0.405029911052098</v>
      </c>
      <c r="I2495" s="16">
        <f>F2495/F2500</f>
        <v>0.08515645514083615</v>
      </c>
    </row>
    <row r="2496" spans="1:9" s="135" customFormat="1" ht="20.25" customHeight="1">
      <c r="A2496" s="4">
        <v>130</v>
      </c>
      <c r="B2496" s="504" t="s">
        <v>541</v>
      </c>
      <c r="C2496" s="505"/>
      <c r="D2496" s="234">
        <v>70836.88</v>
      </c>
      <c r="E2496" s="14">
        <v>349000</v>
      </c>
      <c r="F2496" s="14">
        <v>229245.32</v>
      </c>
      <c r="G2496" s="15">
        <f t="shared" si="104"/>
        <v>3.236242477082559</v>
      </c>
      <c r="H2496" s="16">
        <f t="shared" si="105"/>
        <v>0.6568633810888252</v>
      </c>
      <c r="I2496" s="16">
        <f>F2496/F2500</f>
        <v>0.8601785951077522</v>
      </c>
    </row>
    <row r="2497" spans="1:9" s="135" customFormat="1" ht="20.25" customHeight="1">
      <c r="A2497" s="4">
        <v>132</v>
      </c>
      <c r="B2497" s="504" t="s">
        <v>542</v>
      </c>
      <c r="C2497" s="505"/>
      <c r="D2497" s="238">
        <v>2970.63</v>
      </c>
      <c r="E2497" s="25">
        <v>6000</v>
      </c>
      <c r="F2497" s="25">
        <v>1772.7</v>
      </c>
      <c r="G2497" s="15">
        <f t="shared" si="104"/>
        <v>0.5967421052100059</v>
      </c>
      <c r="H2497" s="16">
        <f t="shared" si="105"/>
        <v>0.29545</v>
      </c>
      <c r="I2497" s="16">
        <f>F2497/F2500</f>
        <v>0.006651558232671936</v>
      </c>
    </row>
    <row r="2498" spans="1:9" s="135" customFormat="1" ht="20.25" customHeight="1">
      <c r="A2498" s="4">
        <v>200</v>
      </c>
      <c r="B2498" s="504" t="s">
        <v>543</v>
      </c>
      <c r="C2498" s="505"/>
      <c r="D2498" s="54">
        <v>0</v>
      </c>
      <c r="E2498" s="25">
        <v>0</v>
      </c>
      <c r="F2498" s="25">
        <v>0</v>
      </c>
      <c r="G2498" s="15" t="e">
        <f t="shared" si="104"/>
        <v>#DIV/0!</v>
      </c>
      <c r="H2498" s="16" t="e">
        <f t="shared" si="105"/>
        <v>#DIV/0!</v>
      </c>
      <c r="I2498" s="16">
        <f>F2498/F2500</f>
        <v>0</v>
      </c>
    </row>
    <row r="2499" spans="1:9" s="135" customFormat="1" ht="20.25" customHeight="1">
      <c r="A2499" s="4">
        <v>300</v>
      </c>
      <c r="B2499" s="504" t="s">
        <v>544</v>
      </c>
      <c r="C2499" s="505"/>
      <c r="D2499" s="25">
        <v>4984</v>
      </c>
      <c r="E2499" s="25">
        <v>140000</v>
      </c>
      <c r="F2499" s="25">
        <v>12796</v>
      </c>
      <c r="G2499" s="15">
        <f t="shared" si="104"/>
        <v>2.567415730337079</v>
      </c>
      <c r="H2499" s="16">
        <f t="shared" si="105"/>
        <v>0.0914</v>
      </c>
      <c r="I2499" s="16">
        <f>F2499/F2500</f>
        <v>0.048013391518739824</v>
      </c>
    </row>
    <row r="2500" spans="1:9" s="135" customFormat="1" ht="30" customHeight="1">
      <c r="A2500" s="17"/>
      <c r="B2500" s="548" t="s">
        <v>95</v>
      </c>
      <c r="C2500" s="549"/>
      <c r="D2500" s="288">
        <f>D2495+D2496+D2497+D2498+D2499</f>
        <v>101325.56000000001</v>
      </c>
      <c r="E2500" s="211">
        <f>E2495+E2496+E2497+E2498+E2499</f>
        <v>551032.8</v>
      </c>
      <c r="F2500" s="211">
        <f>F2495+F2496+F2497+F2498+F2499</f>
        <v>266508.98</v>
      </c>
      <c r="G2500" s="265">
        <f t="shared" si="104"/>
        <v>2.630224594860368</v>
      </c>
      <c r="H2500" s="266">
        <f t="shared" si="105"/>
        <v>0.48365356835382567</v>
      </c>
      <c r="I2500" s="266">
        <f>SUM(I2495:I2499)</f>
        <v>1</v>
      </c>
    </row>
    <row r="2501" spans="1:8" s="135" customFormat="1" ht="20.25" customHeight="1">
      <c r="A2501" s="49"/>
      <c r="B2501" s="49"/>
      <c r="C2501" s="49"/>
      <c r="D2501" s="49"/>
      <c r="E2501" s="208"/>
      <c r="F2501" s="49"/>
      <c r="G2501" s="49"/>
      <c r="H2501" s="40"/>
    </row>
    <row r="2502" spans="1:9" s="135" customFormat="1" ht="20.25" customHeight="1">
      <c r="A2502" s="503" t="s">
        <v>1237</v>
      </c>
      <c r="B2502" s="503"/>
      <c r="C2502" s="503"/>
      <c r="D2502" s="503"/>
      <c r="E2502" s="503"/>
      <c r="F2502" s="503"/>
      <c r="G2502" s="503"/>
      <c r="H2502" s="503"/>
      <c r="I2502" s="503"/>
    </row>
    <row r="2503" spans="1:9" s="135" customFormat="1" ht="20.25" customHeight="1">
      <c r="A2503" s="486" t="s">
        <v>395</v>
      </c>
      <c r="B2503" s="486"/>
      <c r="C2503" s="486"/>
      <c r="D2503" s="486"/>
      <c r="E2503" s="486"/>
      <c r="F2503" s="486"/>
      <c r="G2503" s="486"/>
      <c r="H2503" s="486"/>
      <c r="I2503" s="486"/>
    </row>
    <row r="2504" spans="1:9" s="135" customFormat="1" ht="20.25" customHeight="1">
      <c r="A2504" s="486" t="s">
        <v>1236</v>
      </c>
      <c r="B2504" s="486"/>
      <c r="C2504" s="486"/>
      <c r="D2504" s="486"/>
      <c r="E2504" s="486"/>
      <c r="F2504" s="486"/>
      <c r="G2504" s="486"/>
      <c r="H2504" s="486"/>
      <c r="I2504" s="486"/>
    </row>
    <row r="2505" spans="1:9" s="135" customFormat="1" ht="20.25" customHeight="1">
      <c r="A2505" s="486" t="s">
        <v>1235</v>
      </c>
      <c r="B2505" s="486"/>
      <c r="C2505" s="486"/>
      <c r="D2505" s="486"/>
      <c r="E2505" s="486"/>
      <c r="F2505" s="486"/>
      <c r="G2505" s="486"/>
      <c r="H2505" s="486"/>
      <c r="I2505" s="486"/>
    </row>
    <row r="2506" spans="1:9" s="135" customFormat="1" ht="20.25" customHeight="1">
      <c r="A2506" s="486" t="s">
        <v>1234</v>
      </c>
      <c r="B2506" s="486"/>
      <c r="C2506" s="486"/>
      <c r="D2506" s="486"/>
      <c r="E2506" s="486"/>
      <c r="F2506" s="486"/>
      <c r="G2506" s="486"/>
      <c r="H2506" s="486"/>
      <c r="I2506" s="486"/>
    </row>
    <row r="2507" spans="1:9" s="135" customFormat="1" ht="20.25" customHeight="1">
      <c r="A2507" s="486" t="s">
        <v>538</v>
      </c>
      <c r="B2507" s="486"/>
      <c r="C2507" s="486"/>
      <c r="D2507" s="486"/>
      <c r="E2507" s="486"/>
      <c r="F2507" s="486"/>
      <c r="G2507" s="486"/>
      <c r="H2507" s="486"/>
      <c r="I2507" s="486"/>
    </row>
    <row r="2508" spans="1:9" s="135" customFormat="1" ht="20.25" customHeight="1">
      <c r="A2508" s="486" t="s">
        <v>1233</v>
      </c>
      <c r="B2508" s="486"/>
      <c r="C2508" s="486"/>
      <c r="D2508" s="486"/>
      <c r="E2508" s="486"/>
      <c r="F2508" s="486"/>
      <c r="G2508" s="486"/>
      <c r="H2508" s="486"/>
      <c r="I2508" s="486"/>
    </row>
    <row r="2509" spans="1:9" s="135" customFormat="1" ht="20.25" customHeight="1">
      <c r="A2509" s="518" t="s">
        <v>392</v>
      </c>
      <c r="B2509" s="518"/>
      <c r="C2509" s="518"/>
      <c r="D2509" s="518"/>
      <c r="E2509" s="518"/>
      <c r="F2509" s="518"/>
      <c r="G2509" s="518"/>
      <c r="H2509" s="518"/>
      <c r="I2509" s="518"/>
    </row>
    <row r="2510" spans="1:9" s="135" customFormat="1" ht="20.25" customHeight="1">
      <c r="A2510" s="39"/>
      <c r="B2510" s="39"/>
      <c r="C2510" s="39"/>
      <c r="D2510" s="39"/>
      <c r="E2510" s="39"/>
      <c r="F2510" s="39"/>
      <c r="G2510" s="39"/>
      <c r="H2510" s="39"/>
      <c r="I2510" s="39"/>
    </row>
    <row r="2511" spans="1:9" s="135" customFormat="1" ht="20.25" customHeight="1">
      <c r="A2511" s="39"/>
      <c r="B2511" s="39"/>
      <c r="C2511" s="39"/>
      <c r="D2511" s="39"/>
      <c r="E2511" s="39"/>
      <c r="F2511" s="39"/>
      <c r="G2511" s="39"/>
      <c r="H2511" s="39"/>
      <c r="I2511" s="39"/>
    </row>
    <row r="2512" spans="1:9" s="135" customFormat="1" ht="20.25" customHeight="1">
      <c r="A2512" s="273"/>
      <c r="B2512" s="273"/>
      <c r="C2512" s="273"/>
      <c r="D2512" s="273"/>
      <c r="E2512" s="273"/>
      <c r="F2512" s="273"/>
      <c r="G2512" s="273"/>
      <c r="H2512" s="273"/>
      <c r="I2512" s="273"/>
    </row>
    <row r="2513" spans="1:8" s="135" customFormat="1" ht="30" customHeight="1">
      <c r="A2513" s="273"/>
      <c r="B2513" s="605" t="s">
        <v>992</v>
      </c>
      <c r="C2513" s="605"/>
      <c r="D2513" s="605"/>
      <c r="E2513" s="273"/>
      <c r="F2513" s="273"/>
      <c r="G2513" s="273"/>
      <c r="H2513" s="273"/>
    </row>
    <row r="2514" spans="1:8" s="135" customFormat="1" ht="20.25" customHeight="1">
      <c r="A2514" s="273"/>
      <c r="B2514" s="273"/>
      <c r="C2514" s="273"/>
      <c r="D2514" s="273"/>
      <c r="E2514" s="273"/>
      <c r="F2514" s="273"/>
      <c r="G2514" s="273"/>
      <c r="H2514" s="273"/>
    </row>
    <row r="2515" spans="1:8" s="135" customFormat="1" ht="20.25" customHeight="1">
      <c r="A2515" s="273"/>
      <c r="B2515" s="273"/>
      <c r="C2515" s="273"/>
      <c r="D2515" s="273"/>
      <c r="E2515" s="273"/>
      <c r="F2515" s="273"/>
      <c r="G2515" s="273"/>
      <c r="H2515" s="273"/>
    </row>
    <row r="2516" spans="1:8" s="135" customFormat="1" ht="20.25" customHeight="1">
      <c r="A2516" s="273"/>
      <c r="B2516" s="273"/>
      <c r="C2516" s="273"/>
      <c r="D2516" s="273"/>
      <c r="E2516" s="273"/>
      <c r="F2516" s="273"/>
      <c r="G2516" s="273"/>
      <c r="H2516" s="273"/>
    </row>
    <row r="2517" spans="1:8" s="135" customFormat="1" ht="20.25" customHeight="1">
      <c r="A2517" s="273"/>
      <c r="B2517" s="273"/>
      <c r="C2517" s="273"/>
      <c r="D2517" s="273"/>
      <c r="E2517" s="273"/>
      <c r="F2517" s="273"/>
      <c r="G2517" s="273"/>
      <c r="H2517" s="273"/>
    </row>
    <row r="2518" spans="1:8" s="135" customFormat="1" ht="20.25" customHeight="1">
      <c r="A2518" s="273"/>
      <c r="B2518" s="273"/>
      <c r="C2518" s="273"/>
      <c r="D2518" s="273"/>
      <c r="E2518" s="273"/>
      <c r="F2518" s="273"/>
      <c r="G2518" s="273"/>
      <c r="H2518" s="273"/>
    </row>
    <row r="2519" spans="1:8" s="135" customFormat="1" ht="20.25" customHeight="1">
      <c r="A2519" s="273"/>
      <c r="B2519" s="273"/>
      <c r="C2519" s="273"/>
      <c r="D2519" s="273"/>
      <c r="E2519" s="273"/>
      <c r="F2519" s="273"/>
      <c r="G2519" s="273"/>
      <c r="H2519" s="273"/>
    </row>
    <row r="2520" spans="1:8" s="135" customFormat="1" ht="20.25" customHeight="1">
      <c r="A2520" s="273"/>
      <c r="B2520" s="273"/>
      <c r="C2520" s="273"/>
      <c r="D2520" s="273"/>
      <c r="E2520" s="273"/>
      <c r="F2520" s="273"/>
      <c r="G2520" s="273"/>
      <c r="H2520" s="273"/>
    </row>
    <row r="2521" spans="1:8" s="135" customFormat="1" ht="20.25" customHeight="1">
      <c r="A2521" s="273"/>
      <c r="B2521" s="273"/>
      <c r="C2521" s="273"/>
      <c r="D2521" s="273"/>
      <c r="E2521" s="273"/>
      <c r="F2521" s="273"/>
      <c r="G2521" s="273"/>
      <c r="H2521" s="273"/>
    </row>
    <row r="2522" spans="1:8" s="135" customFormat="1" ht="20.25" customHeight="1">
      <c r="A2522" s="273"/>
      <c r="B2522" s="273"/>
      <c r="C2522" s="273"/>
      <c r="D2522" s="273"/>
      <c r="E2522" s="273"/>
      <c r="F2522" s="273"/>
      <c r="G2522" s="273"/>
      <c r="H2522" s="273"/>
    </row>
    <row r="2523" spans="1:8" s="135" customFormat="1" ht="20.25" customHeight="1">
      <c r="A2523" s="273"/>
      <c r="B2523" s="273"/>
      <c r="C2523" s="273"/>
      <c r="D2523" s="273"/>
      <c r="E2523" s="273"/>
      <c r="F2523" s="273"/>
      <c r="G2523" s="273"/>
      <c r="H2523" s="273"/>
    </row>
    <row r="2524" spans="1:8" s="135" customFormat="1" ht="30" customHeight="1">
      <c r="A2524" s="273"/>
      <c r="B2524" s="605" t="s">
        <v>993</v>
      </c>
      <c r="C2524" s="605"/>
      <c r="D2524" s="605"/>
      <c r="E2524" s="605"/>
      <c r="F2524" s="273"/>
      <c r="G2524" s="273"/>
      <c r="H2524" s="273"/>
    </row>
    <row r="2525" spans="1:9" s="135" customFormat="1" ht="20.25" customHeight="1">
      <c r="A2525" s="273"/>
      <c r="E2525" s="273"/>
      <c r="F2525" s="273"/>
      <c r="G2525" s="273"/>
      <c r="H2525" s="273"/>
      <c r="I2525" s="273"/>
    </row>
    <row r="2526" spans="1:8" s="135" customFormat="1" ht="20.25" customHeight="1">
      <c r="A2526" s="273"/>
      <c r="B2526" s="281"/>
      <c r="C2526" s="281"/>
      <c r="D2526" s="281"/>
      <c r="E2526" s="273"/>
      <c r="F2526" s="273"/>
      <c r="G2526" s="273"/>
      <c r="H2526" s="273"/>
    </row>
    <row r="2527" spans="1:8" s="135" customFormat="1" ht="20.25" customHeight="1">
      <c r="A2527" s="273"/>
      <c r="B2527" s="281"/>
      <c r="C2527" s="281"/>
      <c r="D2527" s="281"/>
      <c r="E2527" s="273"/>
      <c r="F2527" s="273"/>
      <c r="G2527" s="273"/>
      <c r="H2527" s="273"/>
    </row>
    <row r="2528" spans="1:9" s="135" customFormat="1" ht="20.25" customHeight="1">
      <c r="A2528" s="273"/>
      <c r="B2528" s="281"/>
      <c r="C2528" s="281"/>
      <c r="D2528" s="281"/>
      <c r="E2528" s="273"/>
      <c r="F2528" s="273"/>
      <c r="G2528" s="273"/>
      <c r="H2528" s="273"/>
      <c r="I2528" s="273"/>
    </row>
    <row r="2529" spans="1:8" s="135" customFormat="1" ht="20.25" customHeight="1">
      <c r="A2529" s="273"/>
      <c r="B2529" s="281"/>
      <c r="C2529" s="281"/>
      <c r="D2529" s="281"/>
      <c r="E2529" s="273"/>
      <c r="F2529" s="273"/>
      <c r="G2529" s="273"/>
      <c r="H2529" s="273"/>
    </row>
    <row r="2530" spans="1:8" s="135" customFormat="1" ht="20.25" customHeight="1">
      <c r="A2530" s="273"/>
      <c r="B2530" s="281"/>
      <c r="C2530" s="281"/>
      <c r="D2530" s="281"/>
      <c r="E2530" s="273"/>
      <c r="F2530" s="273"/>
      <c r="G2530" s="273"/>
      <c r="H2530" s="273"/>
    </row>
    <row r="2531" spans="1:8" s="135" customFormat="1" ht="20.25" customHeight="1">
      <c r="A2531" s="273"/>
      <c r="B2531" s="281"/>
      <c r="C2531" s="281"/>
      <c r="D2531" s="281"/>
      <c r="E2531" s="273"/>
      <c r="F2531" s="273"/>
      <c r="G2531" s="273"/>
      <c r="H2531" s="273"/>
    </row>
    <row r="2532" spans="1:8" s="135" customFormat="1" ht="20.25" customHeight="1">
      <c r="A2532" s="273"/>
      <c r="B2532" s="297"/>
      <c r="C2532" s="297"/>
      <c r="D2532" s="297"/>
      <c r="E2532" s="297"/>
      <c r="F2532" s="273"/>
      <c r="G2532" s="273"/>
      <c r="H2532" s="273"/>
    </row>
    <row r="2533" spans="1:8" s="135" customFormat="1" ht="20.25" customHeight="1">
      <c r="A2533" s="273"/>
      <c r="B2533" s="297"/>
      <c r="C2533" s="297"/>
      <c r="D2533" s="297"/>
      <c r="E2533" s="297"/>
      <c r="F2533" s="273"/>
      <c r="G2533" s="273"/>
      <c r="H2533" s="273"/>
    </row>
    <row r="2534" spans="1:8" s="135" customFormat="1" ht="20.25" customHeight="1">
      <c r="A2534" s="273"/>
      <c r="B2534" s="297"/>
      <c r="C2534" s="297"/>
      <c r="D2534" s="297"/>
      <c r="E2534" s="297"/>
      <c r="F2534" s="273"/>
      <c r="G2534" s="273"/>
      <c r="H2534" s="273"/>
    </row>
    <row r="2535" spans="1:8" s="135" customFormat="1" ht="20.25" customHeight="1">
      <c r="A2535" s="273"/>
      <c r="B2535" s="297"/>
      <c r="C2535" s="297"/>
      <c r="D2535" s="297"/>
      <c r="E2535" s="297"/>
      <c r="F2535" s="273"/>
      <c r="G2535" s="273"/>
      <c r="H2535" s="273"/>
    </row>
    <row r="2536" spans="1:8" s="135" customFormat="1" ht="20.25" customHeight="1">
      <c r="A2536" s="273"/>
      <c r="B2536" s="297"/>
      <c r="C2536" s="297"/>
      <c r="D2536" s="297"/>
      <c r="E2536" s="297"/>
      <c r="F2536" s="273"/>
      <c r="G2536" s="273"/>
      <c r="H2536" s="273"/>
    </row>
    <row r="2537" spans="1:9" s="135" customFormat="1" ht="20.25" customHeight="1">
      <c r="A2537" s="273"/>
      <c r="B2537" s="297"/>
      <c r="C2537" s="297"/>
      <c r="D2537" s="297"/>
      <c r="E2537" s="297"/>
      <c r="F2537" s="273"/>
      <c r="G2537" s="273"/>
      <c r="H2537" s="273"/>
      <c r="I2537" s="430"/>
    </row>
    <row r="2538" spans="1:9" s="135" customFormat="1" ht="20.25" customHeight="1">
      <c r="A2538" s="273"/>
      <c r="B2538" s="297"/>
      <c r="C2538" s="297"/>
      <c r="D2538" s="297"/>
      <c r="E2538" s="297"/>
      <c r="F2538" s="273"/>
      <c r="G2538" s="273"/>
      <c r="H2538" s="273"/>
      <c r="I2538" s="430">
        <v>39</v>
      </c>
    </row>
    <row r="2539" spans="1:9" s="135" customFormat="1" ht="20.25" customHeight="1">
      <c r="A2539" s="273"/>
      <c r="B2539" s="297"/>
      <c r="C2539" s="297"/>
      <c r="D2539" s="297"/>
      <c r="E2539" s="297"/>
      <c r="F2539" s="273"/>
      <c r="G2539" s="273"/>
      <c r="H2539" s="273"/>
      <c r="I2539" s="272"/>
    </row>
    <row r="2540" spans="1:8" s="135" customFormat="1" ht="20.25" customHeight="1">
      <c r="A2540" s="273"/>
      <c r="B2540" s="297"/>
      <c r="C2540" s="297"/>
      <c r="D2540" s="297"/>
      <c r="E2540" s="297"/>
      <c r="F2540" s="273"/>
      <c r="G2540" s="273"/>
      <c r="H2540" s="273"/>
    </row>
    <row r="2541" spans="1:9" s="135" customFormat="1" ht="20.25" customHeight="1">
      <c r="A2541" s="273"/>
      <c r="E2541" s="273"/>
      <c r="F2541" s="273"/>
      <c r="G2541" s="273"/>
      <c r="H2541" s="273"/>
      <c r="I2541" s="209"/>
    </row>
    <row r="2542" spans="1:9" s="135" customFormat="1" ht="30" customHeight="1">
      <c r="A2542" s="278"/>
      <c r="B2542" s="606" t="s">
        <v>19</v>
      </c>
      <c r="C2542" s="606"/>
      <c r="D2542" s="606"/>
      <c r="E2542" s="606"/>
      <c r="F2542" s="606"/>
      <c r="G2542" s="606"/>
      <c r="I2542" s="272"/>
    </row>
    <row r="2543" spans="1:9" s="135" customFormat="1" ht="20.25" customHeight="1">
      <c r="A2543" s="278"/>
      <c r="B2543" s="278"/>
      <c r="C2543" s="278"/>
      <c r="D2543" s="278"/>
      <c r="E2543" s="278"/>
      <c r="F2543" s="278"/>
      <c r="G2543" s="278"/>
      <c r="I2543" s="272"/>
    </row>
    <row r="2544" spans="1:9" s="135" customFormat="1" ht="20.25" customHeight="1">
      <c r="A2544" s="278"/>
      <c r="C2544" s="278"/>
      <c r="D2544" s="278"/>
      <c r="E2544" s="278"/>
      <c r="F2544" s="278"/>
      <c r="G2544" s="278"/>
      <c r="I2544" s="272"/>
    </row>
    <row r="2545" spans="1:9" s="135" customFormat="1" ht="20.25" customHeight="1">
      <c r="A2545" s="278"/>
      <c r="B2545" s="278"/>
      <c r="C2545" s="278"/>
      <c r="D2545" s="278"/>
      <c r="E2545" s="278"/>
      <c r="F2545" s="278"/>
      <c r="G2545" s="278"/>
      <c r="I2545" s="272"/>
    </row>
    <row r="2546" spans="1:9" s="135" customFormat="1" ht="20.25" customHeight="1">
      <c r="A2546" s="609" t="s">
        <v>1232</v>
      </c>
      <c r="B2546" s="609"/>
      <c r="C2546" s="609"/>
      <c r="D2546" s="609"/>
      <c r="E2546" s="609"/>
      <c r="F2546" s="609"/>
      <c r="G2546" s="609"/>
      <c r="H2546" s="609"/>
      <c r="I2546" s="609"/>
    </row>
    <row r="2547" spans="1:9" s="135" customFormat="1" ht="20.25" customHeight="1">
      <c r="A2547" s="609" t="s">
        <v>21</v>
      </c>
      <c r="B2547" s="609"/>
      <c r="C2547" s="609"/>
      <c r="D2547" s="609"/>
      <c r="E2547" s="609"/>
      <c r="F2547" s="609"/>
      <c r="G2547" s="609"/>
      <c r="H2547" s="609"/>
      <c r="I2547" s="609"/>
    </row>
    <row r="2548" spans="1:9" s="135" customFormat="1" ht="20.25" customHeight="1">
      <c r="A2548" s="518" t="s">
        <v>1231</v>
      </c>
      <c r="B2548" s="518"/>
      <c r="C2548" s="518"/>
      <c r="D2548" s="518"/>
      <c r="E2548" s="518"/>
      <c r="F2548" s="518"/>
      <c r="G2548" s="518"/>
      <c r="H2548" s="518"/>
      <c r="I2548" s="518"/>
    </row>
    <row r="2549" spans="1:9" s="135" customFormat="1" ht="20.25" customHeight="1">
      <c r="A2549" s="518" t="s">
        <v>396</v>
      </c>
      <c r="B2549" s="518"/>
      <c r="C2549" s="518"/>
      <c r="D2549" s="518"/>
      <c r="E2549" s="518"/>
      <c r="F2549" s="518"/>
      <c r="G2549" s="518"/>
      <c r="H2549" s="518"/>
      <c r="I2549" s="518"/>
    </row>
    <row r="2550" spans="1:9" s="135" customFormat="1" ht="20.25" customHeight="1">
      <c r="A2550" s="191"/>
      <c r="B2550" s="518" t="s">
        <v>1073</v>
      </c>
      <c r="C2550" s="518"/>
      <c r="D2550" s="518"/>
      <c r="E2550" s="518"/>
      <c r="F2550" s="518"/>
      <c r="G2550" s="518"/>
      <c r="H2550" s="518"/>
      <c r="I2550" s="518"/>
    </row>
    <row r="2551" spans="1:9" s="135" customFormat="1" ht="20.25" customHeight="1">
      <c r="A2551" s="191"/>
      <c r="B2551" s="191"/>
      <c r="C2551" s="191"/>
      <c r="D2551" s="191"/>
      <c r="E2551" s="191"/>
      <c r="F2551" s="191"/>
      <c r="G2551" s="191"/>
      <c r="H2551" s="191"/>
      <c r="I2551" s="191"/>
    </row>
    <row r="2552" spans="1:8" s="135" customFormat="1" ht="20.25" customHeight="1">
      <c r="A2552" s="40"/>
      <c r="B2552" s="39"/>
      <c r="C2552"/>
      <c r="D2552" s="487" t="s">
        <v>682</v>
      </c>
      <c r="E2552" s="487"/>
      <c r="F2552" s="487"/>
      <c r="G2552" s="40"/>
      <c r="H2552" s="40"/>
    </row>
    <row r="2553" spans="1:8" s="135" customFormat="1" ht="20.25" customHeight="1">
      <c r="A2553" s="40"/>
      <c r="B2553" s="40"/>
      <c r="C2553" s="40"/>
      <c r="D2553" s="40"/>
      <c r="E2553" s="40"/>
      <c r="F2553" s="40"/>
      <c r="G2553" s="40"/>
      <c r="H2553" s="40"/>
    </row>
    <row r="2554" spans="1:9" s="135" customFormat="1" ht="20.25" customHeight="1">
      <c r="A2554" s="612" t="s">
        <v>683</v>
      </c>
      <c r="B2554" s="491" t="s">
        <v>688</v>
      </c>
      <c r="C2554" s="492"/>
      <c r="D2554" s="5" t="s">
        <v>686</v>
      </c>
      <c r="E2554" s="5" t="s">
        <v>712</v>
      </c>
      <c r="F2554" s="5" t="s">
        <v>686</v>
      </c>
      <c r="G2554" s="510" t="s">
        <v>713</v>
      </c>
      <c r="H2554" s="511"/>
      <c r="I2554" s="6" t="s">
        <v>714</v>
      </c>
    </row>
    <row r="2555" spans="1:9" s="135" customFormat="1" ht="20.25" customHeight="1">
      <c r="A2555" s="613"/>
      <c r="B2555" s="493"/>
      <c r="C2555" s="494"/>
      <c r="D2555" s="7" t="s">
        <v>656</v>
      </c>
      <c r="E2555" s="7" t="s">
        <v>715</v>
      </c>
      <c r="F2555" s="7" t="s">
        <v>657</v>
      </c>
      <c r="G2555" s="8" t="s">
        <v>706</v>
      </c>
      <c r="H2555" s="9" t="s">
        <v>707</v>
      </c>
      <c r="I2555" s="10" t="s">
        <v>717</v>
      </c>
    </row>
    <row r="2556" spans="1:9" s="135" customFormat="1" ht="20.25" customHeight="1">
      <c r="A2556" s="13">
        <v>1</v>
      </c>
      <c r="B2556" s="295">
        <v>2</v>
      </c>
      <c r="C2556" s="296"/>
      <c r="D2556" s="12">
        <v>3</v>
      </c>
      <c r="E2556" s="12">
        <v>4</v>
      </c>
      <c r="F2556" s="12">
        <v>5</v>
      </c>
      <c r="G2556" s="12">
        <v>6</v>
      </c>
      <c r="H2556" s="12">
        <v>7</v>
      </c>
      <c r="I2556" s="13">
        <v>8</v>
      </c>
    </row>
    <row r="2557" spans="1:9" s="135" customFormat="1" ht="20.25" customHeight="1">
      <c r="A2557" s="188">
        <v>50409</v>
      </c>
      <c r="B2557" s="610" t="s">
        <v>486</v>
      </c>
      <c r="C2557" s="611"/>
      <c r="D2557" s="151">
        <v>39161.5</v>
      </c>
      <c r="E2557" s="290">
        <v>85000</v>
      </c>
      <c r="F2557" s="25">
        <v>36675</v>
      </c>
      <c r="G2557" s="15">
        <f>F2557/D2557</f>
        <v>0.9365065178810822</v>
      </c>
      <c r="H2557" s="16">
        <f>F2557/E2557</f>
        <v>0.4314705882352941</v>
      </c>
      <c r="I2557" s="16">
        <f>F2557/F2559</f>
        <v>1</v>
      </c>
    </row>
    <row r="2558" spans="1:9" s="135" customFormat="1" ht="20.25" customHeight="1">
      <c r="A2558" s="304"/>
      <c r="B2558" s="610" t="s">
        <v>704</v>
      </c>
      <c r="C2558" s="611"/>
      <c r="D2558" s="151">
        <v>0</v>
      </c>
      <c r="E2558" s="290">
        <v>0</v>
      </c>
      <c r="F2558" s="14"/>
      <c r="G2558" s="15" t="e">
        <f>F2558/D2558</f>
        <v>#DIV/0!</v>
      </c>
      <c r="H2558" s="16" t="e">
        <f>F2558/E2558</f>
        <v>#DIV/0!</v>
      </c>
      <c r="I2558" s="16">
        <f>F2558/F2559</f>
        <v>0</v>
      </c>
    </row>
    <row r="2559" spans="1:9" s="135" customFormat="1" ht="30" customHeight="1">
      <c r="A2559" s="17"/>
      <c r="B2559" s="548" t="s">
        <v>919</v>
      </c>
      <c r="C2559" s="549"/>
      <c r="D2559" s="288">
        <f>D2557+D2558</f>
        <v>39161.5</v>
      </c>
      <c r="E2559" s="288">
        <f>E2557+E2558</f>
        <v>85000</v>
      </c>
      <c r="F2559" s="288">
        <f>F2557+F2558</f>
        <v>36675</v>
      </c>
      <c r="G2559" s="265">
        <f>F2559/D2559</f>
        <v>0.9365065178810822</v>
      </c>
      <c r="H2559" s="266">
        <f>F2559/E2559</f>
        <v>0.4314705882352941</v>
      </c>
      <c r="I2559" s="266">
        <f>SUM(I2557:I2558)</f>
        <v>1</v>
      </c>
    </row>
    <row r="2560" spans="1:9" s="135" customFormat="1" ht="20.25" customHeight="1">
      <c r="A2560" s="282"/>
      <c r="B2560" s="283"/>
      <c r="C2560" s="283"/>
      <c r="D2560" s="284"/>
      <c r="E2560" s="285"/>
      <c r="F2560" s="285"/>
      <c r="G2560" s="286"/>
      <c r="H2560" s="287"/>
      <c r="I2560" s="287"/>
    </row>
    <row r="2561" spans="1:9" s="135" customFormat="1" ht="20.25" customHeight="1">
      <c r="A2561" s="599" t="s">
        <v>1230</v>
      </c>
      <c r="B2561" s="599"/>
      <c r="C2561" s="599"/>
      <c r="D2561" s="599"/>
      <c r="E2561" s="599"/>
      <c r="F2561" s="599"/>
      <c r="G2561" s="599"/>
      <c r="H2561" s="599"/>
      <c r="I2561" s="599"/>
    </row>
    <row r="2562" spans="1:9" s="135" customFormat="1" ht="20.25" customHeight="1">
      <c r="A2562" s="599" t="s">
        <v>376</v>
      </c>
      <c r="B2562" s="599"/>
      <c r="C2562" s="599"/>
      <c r="D2562" s="599"/>
      <c r="E2562" s="599"/>
      <c r="F2562" s="599"/>
      <c r="G2562" s="599"/>
      <c r="H2562" s="599"/>
      <c r="I2562" s="599"/>
    </row>
    <row r="2563" spans="1:9" s="135" customFormat="1" ht="20.25" customHeight="1">
      <c r="A2563" s="599" t="s">
        <v>1223</v>
      </c>
      <c r="B2563" s="599"/>
      <c r="C2563" s="599"/>
      <c r="D2563" s="599"/>
      <c r="E2563" s="599"/>
      <c r="F2563" s="599"/>
      <c r="G2563" s="599"/>
      <c r="H2563" s="599"/>
      <c r="I2563" s="599"/>
    </row>
    <row r="2564" spans="1:8" s="135" customFormat="1" ht="20.25" customHeight="1">
      <c r="A2564" s="40"/>
      <c r="B2564" s="40"/>
      <c r="C2564"/>
      <c r="D2564" s="607" t="s">
        <v>682</v>
      </c>
      <c r="E2564" s="607"/>
      <c r="F2564" s="607"/>
      <c r="G2564" s="40"/>
      <c r="H2564" s="40"/>
    </row>
    <row r="2565" spans="1:8" s="135" customFormat="1" ht="20.25" customHeight="1">
      <c r="A2565" s="40"/>
      <c r="B2565" s="40"/>
      <c r="C2565" s="40"/>
      <c r="D2565" s="40"/>
      <c r="E2565" s="40"/>
      <c r="F2565" s="40"/>
      <c r="G2565" s="40"/>
      <c r="H2565" s="40"/>
    </row>
    <row r="2566" spans="1:9" s="135" customFormat="1" ht="20.25" customHeight="1">
      <c r="A2566" s="22" t="s">
        <v>683</v>
      </c>
      <c r="B2566" s="491" t="s">
        <v>688</v>
      </c>
      <c r="C2566" s="492"/>
      <c r="D2566" s="5" t="s">
        <v>686</v>
      </c>
      <c r="E2566" s="5" t="s">
        <v>712</v>
      </c>
      <c r="F2566" s="5" t="s">
        <v>686</v>
      </c>
      <c r="G2566" s="510" t="s">
        <v>713</v>
      </c>
      <c r="H2566" s="511"/>
      <c r="I2566" s="6" t="s">
        <v>714</v>
      </c>
    </row>
    <row r="2567" spans="1:9" s="135" customFormat="1" ht="20.25" customHeight="1">
      <c r="A2567" s="23" t="s">
        <v>97</v>
      </c>
      <c r="B2567" s="493"/>
      <c r="C2567" s="494"/>
      <c r="D2567" s="7" t="s">
        <v>656</v>
      </c>
      <c r="E2567" s="7" t="s">
        <v>715</v>
      </c>
      <c r="F2567" s="7" t="s">
        <v>657</v>
      </c>
      <c r="G2567" s="8" t="s">
        <v>706</v>
      </c>
      <c r="H2567" s="9" t="s">
        <v>707</v>
      </c>
      <c r="I2567" s="10" t="s">
        <v>717</v>
      </c>
    </row>
    <row r="2568" spans="1:9" s="135" customFormat="1" ht="20.25" customHeight="1">
      <c r="A2568" s="13">
        <v>1</v>
      </c>
      <c r="B2568" s="535">
        <v>2</v>
      </c>
      <c r="C2568" s="536"/>
      <c r="D2568" s="12">
        <v>3</v>
      </c>
      <c r="E2568" s="12">
        <v>4</v>
      </c>
      <c r="F2568" s="12">
        <v>5</v>
      </c>
      <c r="G2568" s="12">
        <v>6</v>
      </c>
      <c r="H2568" s="12">
        <v>7</v>
      </c>
      <c r="I2568" s="13">
        <v>8</v>
      </c>
    </row>
    <row r="2569" spans="1:9" s="135" customFormat="1" ht="20.25" customHeight="1">
      <c r="A2569" s="4">
        <v>111</v>
      </c>
      <c r="B2569" s="504" t="s">
        <v>540</v>
      </c>
      <c r="C2569" s="505"/>
      <c r="D2569" s="25">
        <v>87437.47</v>
      </c>
      <c r="E2569" s="25">
        <v>225360</v>
      </c>
      <c r="F2569" s="25">
        <v>96859.97</v>
      </c>
      <c r="G2569" s="15">
        <f aca="true" t="shared" si="106" ref="G2569:G2574">F2569/D2569</f>
        <v>1.1077627246076538</v>
      </c>
      <c r="H2569" s="16">
        <f aca="true" t="shared" si="107" ref="H2569:H2574">F2569/E2569</f>
        <v>0.42980107383741567</v>
      </c>
      <c r="I2569" s="16">
        <f>F2569/F2574</f>
        <v>0.6958627119774059</v>
      </c>
    </row>
    <row r="2570" spans="1:9" s="135" customFormat="1" ht="20.25" customHeight="1">
      <c r="A2570" s="4">
        <v>130</v>
      </c>
      <c r="B2570" s="504" t="s">
        <v>541</v>
      </c>
      <c r="C2570" s="505"/>
      <c r="D2570" s="234">
        <v>38593.26</v>
      </c>
      <c r="E2570" s="14">
        <v>70000</v>
      </c>
      <c r="F2570" s="14">
        <v>36146.97</v>
      </c>
      <c r="G2570" s="15">
        <f t="shared" si="106"/>
        <v>0.9366135434011016</v>
      </c>
      <c r="H2570" s="16">
        <f t="shared" si="107"/>
        <v>0.5163852857142858</v>
      </c>
      <c r="I2570" s="16">
        <f>F2570/F2574</f>
        <v>0.2596875528039698</v>
      </c>
    </row>
    <row r="2571" spans="1:9" s="135" customFormat="1" ht="20.25" customHeight="1">
      <c r="A2571" s="4">
        <v>132</v>
      </c>
      <c r="B2571" s="504" t="s">
        <v>542</v>
      </c>
      <c r="C2571" s="505"/>
      <c r="D2571" s="238">
        <v>8959.68</v>
      </c>
      <c r="E2571" s="25">
        <v>11000</v>
      </c>
      <c r="F2571" s="25">
        <v>6187.14</v>
      </c>
      <c r="G2571" s="15">
        <f t="shared" si="106"/>
        <v>0.6905536804885889</v>
      </c>
      <c r="H2571" s="16">
        <f t="shared" si="107"/>
        <v>0.5624672727272727</v>
      </c>
      <c r="I2571" s="16">
        <f>F2571/F2574</f>
        <v>0.04444973521862424</v>
      </c>
    </row>
    <row r="2572" spans="1:9" s="135" customFormat="1" ht="20.25" customHeight="1">
      <c r="A2572" s="4">
        <v>200</v>
      </c>
      <c r="B2572" s="504" t="s">
        <v>543</v>
      </c>
      <c r="C2572" s="505"/>
      <c r="D2572" s="54">
        <v>0</v>
      </c>
      <c r="E2572" s="25">
        <v>0</v>
      </c>
      <c r="F2572" s="25">
        <v>0</v>
      </c>
      <c r="G2572" s="15" t="e">
        <f t="shared" si="106"/>
        <v>#DIV/0!</v>
      </c>
      <c r="H2572" s="16" t="e">
        <f t="shared" si="107"/>
        <v>#DIV/0!</v>
      </c>
      <c r="I2572" s="16">
        <f>F2572/F2574</f>
        <v>0</v>
      </c>
    </row>
    <row r="2573" spans="1:9" s="135" customFormat="1" ht="20.25" customHeight="1">
      <c r="A2573" s="4">
        <v>300</v>
      </c>
      <c r="B2573" s="504" t="s">
        <v>544</v>
      </c>
      <c r="C2573" s="505"/>
      <c r="D2573" s="25">
        <v>0</v>
      </c>
      <c r="E2573" s="25">
        <v>10000</v>
      </c>
      <c r="F2573" s="25">
        <v>0</v>
      </c>
      <c r="G2573" s="15" t="e">
        <f t="shared" si="106"/>
        <v>#DIV/0!</v>
      </c>
      <c r="H2573" s="16">
        <f t="shared" si="107"/>
        <v>0</v>
      </c>
      <c r="I2573" s="16">
        <f>F2573/F2574</f>
        <v>0</v>
      </c>
    </row>
    <row r="2574" spans="1:9" s="135" customFormat="1" ht="30" customHeight="1">
      <c r="A2574" s="17"/>
      <c r="B2574" s="548" t="s">
        <v>95</v>
      </c>
      <c r="C2574" s="549"/>
      <c r="D2574" s="288">
        <f>D2569+D2570+D2571+D2572+D2573</f>
        <v>134990.41</v>
      </c>
      <c r="E2574" s="211">
        <f>E2569+E2570+E2571+E2572+E2573</f>
        <v>316360</v>
      </c>
      <c r="F2574" s="211">
        <f>F2569+F2570+F2571+F2572+F2573</f>
        <v>139194.08000000002</v>
      </c>
      <c r="G2574" s="20">
        <f t="shared" si="106"/>
        <v>1.0311405084257468</v>
      </c>
      <c r="H2574" s="266">
        <f t="shared" si="107"/>
        <v>0.43998634467062847</v>
      </c>
      <c r="I2574" s="266">
        <f>SUM(I2569:I2573)</f>
        <v>1</v>
      </c>
    </row>
    <row r="2575" spans="1:8" s="135" customFormat="1" ht="20.25" customHeight="1">
      <c r="A2575" s="49"/>
      <c r="B2575" s="49"/>
      <c r="C2575" s="49"/>
      <c r="D2575" s="49"/>
      <c r="E2575" s="208"/>
      <c r="F2575" s="49"/>
      <c r="G2575" s="49"/>
      <c r="H2575" s="40"/>
    </row>
    <row r="2576" spans="1:9" s="135" customFormat="1" ht="20.25" customHeight="1">
      <c r="A2576" s="299"/>
      <c r="B2576" s="600" t="s">
        <v>397</v>
      </c>
      <c r="C2576" s="600"/>
      <c r="D2576" s="600"/>
      <c r="E2576" s="600"/>
      <c r="F2576" s="600"/>
      <c r="G2576" s="600"/>
      <c r="H2576" s="600"/>
      <c r="I2576" s="600"/>
    </row>
    <row r="2577" spans="1:9" s="135" customFormat="1" ht="20.25" customHeight="1">
      <c r="A2577" s="600" t="s">
        <v>398</v>
      </c>
      <c r="B2577" s="600"/>
      <c r="C2577" s="600"/>
      <c r="D2577" s="600"/>
      <c r="E2577" s="600"/>
      <c r="F2577" s="600"/>
      <c r="G2577" s="600"/>
      <c r="H2577" s="600"/>
      <c r="I2577" s="600"/>
    </row>
    <row r="2578" spans="1:9" s="135" customFormat="1" ht="20.25" customHeight="1">
      <c r="A2578" s="503" t="s">
        <v>1229</v>
      </c>
      <c r="B2578" s="503"/>
      <c r="C2578" s="503"/>
      <c r="D2578" s="503"/>
      <c r="E2578" s="503"/>
      <c r="F2578" s="503"/>
      <c r="G2578" s="503"/>
      <c r="H2578" s="503"/>
      <c r="I2578" s="503"/>
    </row>
    <row r="2579" spans="1:9" s="135" customFormat="1" ht="20.25" customHeight="1">
      <c r="A2579" s="486" t="s">
        <v>373</v>
      </c>
      <c r="B2579" s="486"/>
      <c r="C2579" s="486"/>
      <c r="D2579" s="486"/>
      <c r="E2579" s="486"/>
      <c r="F2579" s="486"/>
      <c r="G2579" s="486"/>
      <c r="H2579" s="486"/>
      <c r="I2579" s="486"/>
    </row>
    <row r="2580" spans="1:9" s="135" customFormat="1" ht="20.25" customHeight="1">
      <c r="A2580" s="486" t="s">
        <v>1228</v>
      </c>
      <c r="B2580" s="486"/>
      <c r="C2580" s="486"/>
      <c r="D2580" s="486"/>
      <c r="E2580" s="486"/>
      <c r="F2580" s="486"/>
      <c r="G2580" s="486"/>
      <c r="H2580" s="486"/>
      <c r="I2580" s="486"/>
    </row>
    <row r="2581" spans="1:9" s="135" customFormat="1" ht="20.25" customHeight="1">
      <c r="A2581" s="486" t="s">
        <v>1227</v>
      </c>
      <c r="B2581" s="486"/>
      <c r="C2581" s="486"/>
      <c r="D2581" s="486"/>
      <c r="E2581" s="486"/>
      <c r="F2581" s="486"/>
      <c r="G2581" s="486"/>
      <c r="H2581" s="486"/>
      <c r="I2581" s="486"/>
    </row>
    <row r="2582" spans="1:9" s="135" customFormat="1" ht="20.25" customHeight="1">
      <c r="A2582" s="486" t="s">
        <v>1226</v>
      </c>
      <c r="B2582" s="486"/>
      <c r="C2582" s="486"/>
      <c r="D2582" s="486"/>
      <c r="E2582" s="486"/>
      <c r="F2582" s="486"/>
      <c r="G2582" s="486"/>
      <c r="H2582" s="486"/>
      <c r="I2582" s="486"/>
    </row>
    <row r="2583" spans="1:9" s="135" customFormat="1" ht="20.25" customHeight="1">
      <c r="A2583" s="486" t="s">
        <v>374</v>
      </c>
      <c r="B2583" s="486"/>
      <c r="C2583" s="486"/>
      <c r="D2583" s="486"/>
      <c r="E2583" s="486"/>
      <c r="F2583" s="486"/>
      <c r="G2583" s="486"/>
      <c r="H2583" s="486"/>
      <c r="I2583" s="486"/>
    </row>
    <row r="2584" spans="1:9" s="135" customFormat="1" ht="20.25" customHeight="1">
      <c r="A2584" s="486" t="s">
        <v>375</v>
      </c>
      <c r="B2584" s="486"/>
      <c r="C2584" s="486"/>
      <c r="D2584" s="486"/>
      <c r="E2584" s="486"/>
      <c r="F2584" s="486"/>
      <c r="G2584" s="486"/>
      <c r="H2584" s="486"/>
      <c r="I2584" s="486"/>
    </row>
    <row r="2585" spans="1:9" s="135" customFormat="1" ht="20.25" customHeight="1">
      <c r="A2585" s="39"/>
      <c r="B2585" s="39"/>
      <c r="C2585" s="39"/>
      <c r="D2585" s="39"/>
      <c r="E2585" s="39"/>
      <c r="F2585" s="39"/>
      <c r="G2585" s="39"/>
      <c r="H2585" s="39"/>
      <c r="I2585" s="39"/>
    </row>
    <row r="2586" spans="1:9" s="135" customFormat="1" ht="28.5" customHeight="1">
      <c r="A2586" s="273"/>
      <c r="B2586" s="605" t="s">
        <v>992</v>
      </c>
      <c r="C2586" s="605"/>
      <c r="D2586" s="605"/>
      <c r="E2586" s="273"/>
      <c r="F2586" s="273"/>
      <c r="G2586" s="273"/>
      <c r="H2586" s="273"/>
      <c r="I2586" s="273"/>
    </row>
    <row r="2587" spans="1:8" s="135" customFormat="1" ht="18.75" customHeight="1">
      <c r="A2587" s="273"/>
      <c r="E2587" s="273"/>
      <c r="F2587" s="273"/>
      <c r="G2587" s="273"/>
      <c r="H2587" s="273"/>
    </row>
    <row r="2588" spans="1:8" s="135" customFormat="1" ht="20.25" customHeight="1">
      <c r="A2588" s="273"/>
      <c r="B2588" s="273"/>
      <c r="C2588" s="273"/>
      <c r="D2588" s="273"/>
      <c r="E2588" s="273"/>
      <c r="F2588" s="273"/>
      <c r="G2588" s="273"/>
      <c r="H2588" s="273"/>
    </row>
    <row r="2589" spans="1:8" s="135" customFormat="1" ht="20.25" customHeight="1">
      <c r="A2589" s="273"/>
      <c r="B2589" s="273"/>
      <c r="C2589" s="273"/>
      <c r="D2589" s="273"/>
      <c r="E2589" s="273"/>
      <c r="F2589" s="273"/>
      <c r="G2589" s="273"/>
      <c r="H2589" s="273"/>
    </row>
    <row r="2590" spans="1:8" s="135" customFormat="1" ht="20.25" customHeight="1">
      <c r="A2590" s="273"/>
      <c r="B2590" s="273"/>
      <c r="C2590" s="273"/>
      <c r="D2590" s="273"/>
      <c r="E2590" s="273"/>
      <c r="F2590" s="273"/>
      <c r="G2590" s="273"/>
      <c r="H2590" s="273"/>
    </row>
    <row r="2591" spans="1:8" s="135" customFormat="1" ht="20.25" customHeight="1">
      <c r="A2591" s="273"/>
      <c r="B2591" s="273"/>
      <c r="C2591" s="273"/>
      <c r="D2591" s="273"/>
      <c r="E2591" s="273"/>
      <c r="F2591" s="273"/>
      <c r="G2591" s="273"/>
      <c r="H2591" s="273"/>
    </row>
    <row r="2592" spans="1:8" s="135" customFormat="1" ht="30" customHeight="1">
      <c r="A2592" s="273"/>
      <c r="B2592" s="605" t="s">
        <v>993</v>
      </c>
      <c r="C2592" s="605"/>
      <c r="D2592" s="605"/>
      <c r="E2592" s="605"/>
      <c r="F2592" s="273"/>
      <c r="G2592" s="273"/>
      <c r="H2592" s="273"/>
    </row>
    <row r="2593" spans="1:9" s="135" customFormat="1" ht="20.25" customHeight="1">
      <c r="A2593" s="273"/>
      <c r="E2593" s="273"/>
      <c r="F2593" s="273"/>
      <c r="G2593" s="273"/>
      <c r="H2593" s="273"/>
      <c r="I2593" s="273"/>
    </row>
    <row r="2594" spans="1:8" s="135" customFormat="1" ht="20.25" customHeight="1">
      <c r="A2594" s="273"/>
      <c r="B2594" s="281"/>
      <c r="C2594" s="281"/>
      <c r="D2594" s="281"/>
      <c r="E2594" s="273"/>
      <c r="F2594" s="273"/>
      <c r="G2594" s="273"/>
      <c r="H2594" s="273"/>
    </row>
    <row r="2595" spans="1:8" s="135" customFormat="1" ht="20.25" customHeight="1">
      <c r="A2595" s="273"/>
      <c r="B2595" s="281"/>
      <c r="C2595" s="281"/>
      <c r="D2595" s="281"/>
      <c r="E2595" s="273"/>
      <c r="F2595" s="273"/>
      <c r="G2595" s="273"/>
      <c r="H2595" s="273"/>
    </row>
    <row r="2596" spans="1:8" s="135" customFormat="1" ht="20.25" customHeight="1">
      <c r="A2596" s="273"/>
      <c r="B2596" s="281"/>
      <c r="C2596" s="281"/>
      <c r="D2596" s="281"/>
      <c r="E2596" s="273"/>
      <c r="F2596" s="273"/>
      <c r="G2596" s="273"/>
      <c r="H2596" s="273"/>
    </row>
    <row r="2597" spans="1:8" s="135" customFormat="1" ht="20.25" customHeight="1">
      <c r="A2597" s="273"/>
      <c r="B2597" s="281"/>
      <c r="C2597" s="281"/>
      <c r="D2597" s="281"/>
      <c r="E2597" s="273"/>
      <c r="F2597" s="273"/>
      <c r="G2597" s="273"/>
      <c r="H2597" s="273"/>
    </row>
    <row r="2598" spans="1:9" s="135" customFormat="1" ht="20.25" customHeight="1">
      <c r="A2598" s="273"/>
      <c r="B2598" s="297"/>
      <c r="C2598" s="297"/>
      <c r="D2598" s="297"/>
      <c r="E2598" s="297"/>
      <c r="F2598" s="273"/>
      <c r="G2598" s="273"/>
      <c r="H2598" s="273"/>
      <c r="I2598" s="430"/>
    </row>
    <row r="2599" spans="1:9" s="135" customFormat="1" ht="20.25" customHeight="1">
      <c r="A2599" s="273"/>
      <c r="E2599" s="273"/>
      <c r="F2599" s="273"/>
      <c r="G2599" s="273"/>
      <c r="H2599" s="273"/>
      <c r="I2599" s="430">
        <v>40</v>
      </c>
    </row>
    <row r="2600" spans="1:9" s="135" customFormat="1" ht="20.25" customHeight="1">
      <c r="A2600" s="273"/>
      <c r="E2600" s="273"/>
      <c r="F2600" s="273"/>
      <c r="G2600" s="273"/>
      <c r="H2600" s="273"/>
      <c r="I2600" s="430"/>
    </row>
    <row r="2601" spans="1:9" s="135" customFormat="1" ht="20.25" customHeight="1">
      <c r="A2601" s="273"/>
      <c r="E2601" s="273"/>
      <c r="F2601" s="273"/>
      <c r="G2601" s="273"/>
      <c r="H2601" s="273"/>
      <c r="I2601" s="272"/>
    </row>
    <row r="2602" spans="1:9" s="135" customFormat="1" ht="20.25" customHeight="1">
      <c r="A2602" s="273"/>
      <c r="E2602" s="273"/>
      <c r="F2602" s="273"/>
      <c r="G2602" s="273"/>
      <c r="H2602" s="273"/>
      <c r="I2602" s="272"/>
    </row>
    <row r="2603" spans="1:9" s="135" customFormat="1" ht="30" customHeight="1">
      <c r="A2603" s="278"/>
      <c r="B2603" s="608" t="s">
        <v>536</v>
      </c>
      <c r="C2603" s="608"/>
      <c r="D2603" s="608"/>
      <c r="E2603" s="608"/>
      <c r="F2603" s="608"/>
      <c r="G2603" s="608"/>
      <c r="I2603" s="272"/>
    </row>
    <row r="2604" spans="1:9" s="135" customFormat="1" ht="20.25" customHeight="1">
      <c r="A2604" s="278"/>
      <c r="C2604" s="278"/>
      <c r="D2604" s="278"/>
      <c r="E2604" s="278"/>
      <c r="F2604" s="278"/>
      <c r="G2604" s="278"/>
      <c r="I2604" s="272"/>
    </row>
    <row r="2605" spans="1:9" s="135" customFormat="1" ht="20.25" customHeight="1">
      <c r="A2605" s="278"/>
      <c r="B2605" s="278"/>
      <c r="C2605" s="278"/>
      <c r="D2605" s="278"/>
      <c r="E2605" s="278"/>
      <c r="F2605" s="278"/>
      <c r="G2605" s="278"/>
      <c r="I2605" s="272"/>
    </row>
    <row r="2606" spans="1:9" s="135" customFormat="1" ht="20.25" customHeight="1">
      <c r="A2606" s="609" t="s">
        <v>1225</v>
      </c>
      <c r="B2606" s="609"/>
      <c r="C2606" s="609"/>
      <c r="D2606" s="609"/>
      <c r="E2606" s="609"/>
      <c r="F2606" s="609"/>
      <c r="G2606" s="609"/>
      <c r="H2606" s="609"/>
      <c r="I2606" s="609"/>
    </row>
    <row r="2607" spans="1:9" s="135" customFormat="1" ht="20.25" customHeight="1">
      <c r="A2607" s="609" t="s">
        <v>105</v>
      </c>
      <c r="B2607" s="609"/>
      <c r="C2607" s="609"/>
      <c r="D2607" s="609"/>
      <c r="E2607" s="609"/>
      <c r="F2607" s="609"/>
      <c r="G2607" s="609"/>
      <c r="H2607" s="609"/>
      <c r="I2607" s="609"/>
    </row>
    <row r="2608" spans="1:9" s="135" customFormat="1" ht="20.25" customHeight="1">
      <c r="A2608" s="518" t="s">
        <v>1224</v>
      </c>
      <c r="B2608" s="518"/>
      <c r="C2608" s="518"/>
      <c r="D2608" s="518"/>
      <c r="E2608" s="518"/>
      <c r="F2608" s="518"/>
      <c r="G2608" s="518"/>
      <c r="H2608" s="518"/>
      <c r="I2608" s="518"/>
    </row>
    <row r="2609" spans="1:9" s="135" customFormat="1" ht="20.25" customHeight="1">
      <c r="A2609" s="191"/>
      <c r="B2609" s="191"/>
      <c r="C2609" s="191"/>
      <c r="D2609" s="191"/>
      <c r="E2609" s="191"/>
      <c r="F2609" s="191"/>
      <c r="G2609" s="191"/>
      <c r="H2609" s="191"/>
      <c r="I2609" s="191"/>
    </row>
    <row r="2610" spans="1:8" s="135" customFormat="1" ht="20.25" customHeight="1">
      <c r="A2610" s="40"/>
      <c r="B2610" s="39"/>
      <c r="C2610"/>
      <c r="D2610" s="487" t="s">
        <v>682</v>
      </c>
      <c r="E2610" s="487"/>
      <c r="F2610" s="487"/>
      <c r="G2610" s="40"/>
      <c r="H2610" s="40"/>
    </row>
    <row r="2611" spans="1:8" s="135" customFormat="1" ht="20.25" customHeight="1">
      <c r="A2611" s="40"/>
      <c r="B2611" s="40"/>
      <c r="C2611" s="40"/>
      <c r="D2611" s="40"/>
      <c r="E2611" s="40"/>
      <c r="F2611" s="40"/>
      <c r="G2611" s="40"/>
      <c r="H2611" s="40"/>
    </row>
    <row r="2612" spans="1:9" s="135" customFormat="1" ht="20.25" customHeight="1">
      <c r="A2612" s="612" t="s">
        <v>683</v>
      </c>
      <c r="B2612" s="491" t="s">
        <v>688</v>
      </c>
      <c r="C2612" s="492"/>
      <c r="D2612" s="5" t="s">
        <v>686</v>
      </c>
      <c r="E2612" s="5" t="s">
        <v>712</v>
      </c>
      <c r="F2612" s="5" t="s">
        <v>686</v>
      </c>
      <c r="G2612" s="510" t="s">
        <v>713</v>
      </c>
      <c r="H2612" s="511"/>
      <c r="I2612" s="6" t="s">
        <v>714</v>
      </c>
    </row>
    <row r="2613" spans="1:9" s="135" customFormat="1" ht="20.25" customHeight="1">
      <c r="A2613" s="613"/>
      <c r="B2613" s="493"/>
      <c r="C2613" s="494"/>
      <c r="D2613" s="7" t="s">
        <v>656</v>
      </c>
      <c r="E2613" s="7" t="s">
        <v>715</v>
      </c>
      <c r="F2613" s="7" t="s">
        <v>657</v>
      </c>
      <c r="G2613" s="8" t="s">
        <v>706</v>
      </c>
      <c r="H2613" s="9" t="s">
        <v>707</v>
      </c>
      <c r="I2613" s="10" t="s">
        <v>717</v>
      </c>
    </row>
    <row r="2614" spans="1:9" s="135" customFormat="1" ht="20.25" customHeight="1">
      <c r="A2614" s="13">
        <v>1</v>
      </c>
      <c r="B2614" s="295">
        <v>2</v>
      </c>
      <c r="C2614" s="296"/>
      <c r="D2614" s="12">
        <v>3</v>
      </c>
      <c r="E2614" s="12">
        <v>4</v>
      </c>
      <c r="F2614" s="12">
        <v>5</v>
      </c>
      <c r="G2614" s="12">
        <v>6</v>
      </c>
      <c r="H2614" s="12">
        <v>7</v>
      </c>
      <c r="I2614" s="13">
        <v>8</v>
      </c>
    </row>
    <row r="2615" spans="1:9" s="135" customFormat="1" ht="20.25" customHeight="1">
      <c r="A2615" s="188" t="s">
        <v>983</v>
      </c>
      <c r="B2615" s="610" t="s">
        <v>20</v>
      </c>
      <c r="C2615" s="611"/>
      <c r="D2615" s="151">
        <v>1320</v>
      </c>
      <c r="E2615" s="290">
        <v>1520</v>
      </c>
      <c r="F2615" s="25">
        <v>0</v>
      </c>
      <c r="G2615" s="15">
        <f>F2615/D2615</f>
        <v>0</v>
      </c>
      <c r="H2615" s="16">
        <f>F2615/E2615</f>
        <v>0</v>
      </c>
      <c r="I2615" s="16">
        <f>F2615/F2617</f>
        <v>0</v>
      </c>
    </row>
    <row r="2616" spans="1:9" s="135" customFormat="1" ht="20.25" customHeight="1">
      <c r="A2616" s="4">
        <v>56000</v>
      </c>
      <c r="B2616" s="610" t="s">
        <v>104</v>
      </c>
      <c r="C2616" s="611"/>
      <c r="D2616" s="151">
        <v>0</v>
      </c>
      <c r="E2616" s="290">
        <v>0</v>
      </c>
      <c r="F2616" s="14">
        <v>1247.4</v>
      </c>
      <c r="G2616" s="15" t="e">
        <f>F2616/D2616</f>
        <v>#DIV/0!</v>
      </c>
      <c r="H2616" s="16" t="e">
        <f>F2616/E2616</f>
        <v>#DIV/0!</v>
      </c>
      <c r="I2616" s="16">
        <f>F2616/F2617</f>
        <v>1</v>
      </c>
    </row>
    <row r="2617" spans="1:9" s="135" customFormat="1" ht="30" customHeight="1">
      <c r="A2617" s="17"/>
      <c r="B2617" s="548" t="s">
        <v>919</v>
      </c>
      <c r="C2617" s="549"/>
      <c r="D2617" s="288">
        <f>D2615+D2616</f>
        <v>1320</v>
      </c>
      <c r="E2617" s="288">
        <f>E2615+E2616</f>
        <v>1520</v>
      </c>
      <c r="F2617" s="288">
        <f>F2615+F2616</f>
        <v>1247.4</v>
      </c>
      <c r="G2617" s="265">
        <f>F2617/D2617</f>
        <v>0.9450000000000001</v>
      </c>
      <c r="H2617" s="266">
        <f>F2617/E2617</f>
        <v>0.8206578947368421</v>
      </c>
      <c r="I2617" s="266">
        <f>SUM(I2615:I2616)</f>
        <v>1</v>
      </c>
    </row>
    <row r="2618" spans="1:9" s="135" customFormat="1" ht="20.25" customHeight="1">
      <c r="A2618" s="282"/>
      <c r="B2618" s="283"/>
      <c r="C2618" s="283"/>
      <c r="D2618" s="284"/>
      <c r="E2618" s="285"/>
      <c r="F2618" s="285"/>
      <c r="G2618" s="286"/>
      <c r="H2618" s="287"/>
      <c r="I2618" s="287"/>
    </row>
    <row r="2619" spans="1:9" s="135" customFormat="1" ht="20.25" customHeight="1">
      <c r="A2619" s="599" t="s">
        <v>1223</v>
      </c>
      <c r="B2619" s="599"/>
      <c r="C2619" s="599"/>
      <c r="D2619" s="599"/>
      <c r="E2619" s="599"/>
      <c r="F2619" s="599"/>
      <c r="G2619" s="599"/>
      <c r="H2619" s="599"/>
      <c r="I2619" s="599"/>
    </row>
    <row r="2620" spans="1:6" s="135" customFormat="1" ht="20.25" customHeight="1">
      <c r="A2620" s="282"/>
      <c r="F2620"/>
    </row>
    <row r="2621" spans="1:8" s="135" customFormat="1" ht="20.25" customHeight="1">
      <c r="A2621" s="40"/>
      <c r="B2621" s="40"/>
      <c r="C2621"/>
      <c r="D2621" s="607" t="s">
        <v>682</v>
      </c>
      <c r="E2621" s="607"/>
      <c r="F2621" s="607"/>
      <c r="G2621" s="40"/>
      <c r="H2621" s="40"/>
    </row>
    <row r="2622" spans="1:8" s="135" customFormat="1" ht="20.25" customHeight="1">
      <c r="A2622" s="40"/>
      <c r="B2622" s="40"/>
      <c r="C2622" s="40"/>
      <c r="D2622" s="40"/>
      <c r="E2622" s="40"/>
      <c r="F2622" s="40"/>
      <c r="G2622" s="40"/>
      <c r="H2622" s="40"/>
    </row>
    <row r="2623" spans="1:9" s="135" customFormat="1" ht="20.25" customHeight="1">
      <c r="A2623" s="22" t="s">
        <v>683</v>
      </c>
      <c r="B2623" s="491" t="s">
        <v>688</v>
      </c>
      <c r="C2623" s="492"/>
      <c r="D2623" s="5" t="s">
        <v>686</v>
      </c>
      <c r="E2623" s="5" t="s">
        <v>712</v>
      </c>
      <c r="F2623" s="5" t="s">
        <v>686</v>
      </c>
      <c r="G2623" s="510" t="s">
        <v>713</v>
      </c>
      <c r="H2623" s="511"/>
      <c r="I2623" s="6" t="s">
        <v>714</v>
      </c>
    </row>
    <row r="2624" spans="1:9" s="135" customFormat="1" ht="20.25" customHeight="1">
      <c r="A2624" s="23" t="s">
        <v>97</v>
      </c>
      <c r="B2624" s="493"/>
      <c r="C2624" s="494"/>
      <c r="D2624" s="7" t="s">
        <v>656</v>
      </c>
      <c r="E2624" s="7" t="s">
        <v>715</v>
      </c>
      <c r="F2624" s="7" t="s">
        <v>657</v>
      </c>
      <c r="G2624" s="8" t="s">
        <v>706</v>
      </c>
      <c r="H2624" s="9" t="s">
        <v>707</v>
      </c>
      <c r="I2624" s="10" t="s">
        <v>717</v>
      </c>
    </row>
    <row r="2625" spans="1:9" s="135" customFormat="1" ht="20.25" customHeight="1">
      <c r="A2625" s="13">
        <v>1</v>
      </c>
      <c r="B2625" s="535">
        <v>2</v>
      </c>
      <c r="C2625" s="536"/>
      <c r="D2625" s="12">
        <v>3</v>
      </c>
      <c r="E2625" s="12">
        <v>4</v>
      </c>
      <c r="F2625" s="12">
        <v>5</v>
      </c>
      <c r="G2625" s="12">
        <v>6</v>
      </c>
      <c r="H2625" s="12">
        <v>7</v>
      </c>
      <c r="I2625" s="13">
        <v>8</v>
      </c>
    </row>
    <row r="2626" spans="1:9" s="135" customFormat="1" ht="20.25" customHeight="1">
      <c r="A2626" s="4">
        <v>111</v>
      </c>
      <c r="B2626" s="504" t="s">
        <v>540</v>
      </c>
      <c r="C2626" s="505"/>
      <c r="D2626" s="25">
        <v>1740190.31</v>
      </c>
      <c r="E2626" s="25">
        <v>4447688.48</v>
      </c>
      <c r="F2626" s="25">
        <v>1904496.08</v>
      </c>
      <c r="G2626" s="15">
        <f aca="true" t="shared" si="108" ref="G2626:G2631">F2626/D2626</f>
        <v>1.0944182765849328</v>
      </c>
      <c r="H2626" s="16">
        <f aca="true" t="shared" si="109" ref="H2626:H2631">F2626/E2626</f>
        <v>0.42819907207170227</v>
      </c>
      <c r="I2626" s="16">
        <f>F2626/F2631</f>
        <v>0.9457012857228968</v>
      </c>
    </row>
    <row r="2627" spans="1:9" s="135" customFormat="1" ht="20.25" customHeight="1">
      <c r="A2627" s="4">
        <v>130</v>
      </c>
      <c r="B2627" s="504" t="s">
        <v>541</v>
      </c>
      <c r="C2627" s="505"/>
      <c r="D2627" s="234">
        <v>109715.29</v>
      </c>
      <c r="E2627" s="14">
        <v>169020</v>
      </c>
      <c r="F2627" s="14">
        <v>76796.75</v>
      </c>
      <c r="G2627" s="15">
        <f t="shared" si="108"/>
        <v>0.6999639703818857</v>
      </c>
      <c r="H2627" s="16">
        <f t="shared" si="109"/>
        <v>0.4543648680629511</v>
      </c>
      <c r="I2627" s="16">
        <f>F2627/F2631</f>
        <v>0.038134384195918046</v>
      </c>
    </row>
    <row r="2628" spans="1:9" s="135" customFormat="1" ht="20.25" customHeight="1">
      <c r="A2628" s="4">
        <v>132</v>
      </c>
      <c r="B2628" s="504" t="s">
        <v>542</v>
      </c>
      <c r="C2628" s="505"/>
      <c r="D2628" s="238">
        <v>34021.71</v>
      </c>
      <c r="E2628" s="25">
        <v>76298</v>
      </c>
      <c r="F2628" s="25">
        <v>32552.46</v>
      </c>
      <c r="G2628" s="15">
        <f t="shared" si="108"/>
        <v>0.9568143400199461</v>
      </c>
      <c r="H2628" s="16">
        <f t="shared" si="109"/>
        <v>0.42664892919866837</v>
      </c>
      <c r="I2628" s="16">
        <f>F2628/F2631</f>
        <v>0.016164330081185133</v>
      </c>
    </row>
    <row r="2629" spans="1:9" s="135" customFormat="1" ht="20.25" customHeight="1">
      <c r="A2629" s="4">
        <v>200</v>
      </c>
      <c r="B2629" s="504" t="s">
        <v>543</v>
      </c>
      <c r="C2629" s="505"/>
      <c r="D2629" s="54">
        <v>0</v>
      </c>
      <c r="E2629" s="25">
        <v>0</v>
      </c>
      <c r="F2629" s="25">
        <v>0</v>
      </c>
      <c r="G2629" s="15" t="e">
        <f t="shared" si="108"/>
        <v>#DIV/0!</v>
      </c>
      <c r="H2629" s="16" t="e">
        <f t="shared" si="109"/>
        <v>#DIV/0!</v>
      </c>
      <c r="I2629" s="16">
        <f>F2629/F2631</f>
        <v>0</v>
      </c>
    </row>
    <row r="2630" spans="1:9" s="135" customFormat="1" ht="20.25" customHeight="1">
      <c r="A2630" s="4">
        <v>300</v>
      </c>
      <c r="B2630" s="504" t="s">
        <v>544</v>
      </c>
      <c r="C2630" s="505"/>
      <c r="D2630" s="25">
        <v>8380</v>
      </c>
      <c r="E2630" s="25">
        <v>50000</v>
      </c>
      <c r="F2630" s="25">
        <v>0</v>
      </c>
      <c r="G2630" s="15">
        <f t="shared" si="108"/>
        <v>0</v>
      </c>
      <c r="H2630" s="16">
        <f t="shared" si="109"/>
        <v>0</v>
      </c>
      <c r="I2630" s="16">
        <f>F2630/F2631</f>
        <v>0</v>
      </c>
    </row>
    <row r="2631" spans="1:9" s="135" customFormat="1" ht="30" customHeight="1">
      <c r="A2631" s="17"/>
      <c r="B2631" s="548" t="s">
        <v>95</v>
      </c>
      <c r="C2631" s="549"/>
      <c r="D2631" s="373">
        <f>D2626+D2627+D2628+D2629+D2630</f>
        <v>1892307.31</v>
      </c>
      <c r="E2631" s="36">
        <f>E2626+E2627+E2628+E2629+E2630</f>
        <v>4743006.48</v>
      </c>
      <c r="F2631" s="36">
        <f>F2626+F2627+F2628+F2629+F2630</f>
        <v>2013845.29</v>
      </c>
      <c r="G2631" s="20">
        <f t="shared" si="108"/>
        <v>1.0642274007809016</v>
      </c>
      <c r="H2631" s="21">
        <f t="shared" si="109"/>
        <v>0.4245925655998682</v>
      </c>
      <c r="I2631" s="21">
        <f>SUM(I2626:I2630)</f>
        <v>1</v>
      </c>
    </row>
    <row r="2632" spans="1:8" s="135" customFormat="1" ht="20.25" customHeight="1">
      <c r="A2632" s="49"/>
      <c r="B2632" s="49"/>
      <c r="C2632" s="49"/>
      <c r="D2632" s="49"/>
      <c r="E2632" s="208"/>
      <c r="F2632" s="49"/>
      <c r="G2632" s="49"/>
      <c r="H2632" s="40"/>
    </row>
    <row r="2633" spans="1:9" s="135" customFormat="1" ht="20.25" customHeight="1">
      <c r="A2633" s="299"/>
      <c r="B2633" s="600" t="s">
        <v>847</v>
      </c>
      <c r="C2633" s="600"/>
      <c r="D2633" s="600"/>
      <c r="E2633" s="600"/>
      <c r="F2633" s="600"/>
      <c r="G2633" s="600"/>
      <c r="H2633" s="600"/>
      <c r="I2633" s="600"/>
    </row>
    <row r="2634" spans="1:9" s="135" customFormat="1" ht="20.25" customHeight="1">
      <c r="A2634" s="600" t="s">
        <v>418</v>
      </c>
      <c r="B2634" s="600"/>
      <c r="C2634" s="600"/>
      <c r="D2634" s="600"/>
      <c r="E2634" s="600"/>
      <c r="F2634" s="600"/>
      <c r="G2634" s="600"/>
      <c r="H2634" s="600"/>
      <c r="I2634" s="600"/>
    </row>
    <row r="2635" spans="1:9" s="135" customFormat="1" ht="20.25" customHeight="1">
      <c r="A2635" s="503" t="s">
        <v>1222</v>
      </c>
      <c r="B2635" s="503"/>
      <c r="C2635" s="503"/>
      <c r="D2635" s="503"/>
      <c r="E2635" s="503"/>
      <c r="F2635" s="503"/>
      <c r="G2635" s="503"/>
      <c r="H2635" s="503"/>
      <c r="I2635" s="503"/>
    </row>
    <row r="2636" spans="1:9" s="135" customFormat="1" ht="20.25" customHeight="1">
      <c r="A2636" s="486" t="s">
        <v>419</v>
      </c>
      <c r="B2636" s="486"/>
      <c r="C2636" s="486"/>
      <c r="D2636" s="486"/>
      <c r="E2636" s="486"/>
      <c r="F2636" s="486"/>
      <c r="G2636" s="486"/>
      <c r="H2636" s="486"/>
      <c r="I2636" s="486"/>
    </row>
    <row r="2637" spans="1:9" s="135" customFormat="1" ht="20.25" customHeight="1">
      <c r="A2637" s="486" t="s">
        <v>1221</v>
      </c>
      <c r="B2637" s="486"/>
      <c r="C2637" s="486"/>
      <c r="D2637" s="486"/>
      <c r="E2637" s="486"/>
      <c r="F2637" s="486"/>
      <c r="G2637" s="486"/>
      <c r="H2637" s="486"/>
      <c r="I2637" s="486"/>
    </row>
    <row r="2638" spans="1:9" s="135" customFormat="1" ht="20.25" customHeight="1">
      <c r="A2638" s="486" t="s">
        <v>1220</v>
      </c>
      <c r="B2638" s="486"/>
      <c r="C2638" s="486"/>
      <c r="D2638" s="486"/>
      <c r="E2638" s="486"/>
      <c r="F2638" s="486"/>
      <c r="G2638" s="486"/>
      <c r="H2638" s="486"/>
      <c r="I2638" s="486"/>
    </row>
    <row r="2639" spans="1:9" s="135" customFormat="1" ht="20.25" customHeight="1">
      <c r="A2639" s="486" t="s">
        <v>1219</v>
      </c>
      <c r="B2639" s="486"/>
      <c r="C2639" s="486"/>
      <c r="D2639" s="486"/>
      <c r="E2639" s="486"/>
      <c r="F2639" s="486"/>
      <c r="G2639" s="486"/>
      <c r="H2639" s="486"/>
      <c r="I2639" s="486"/>
    </row>
    <row r="2640" spans="1:9" s="135" customFormat="1" ht="20.25" customHeight="1">
      <c r="A2640" s="486" t="s">
        <v>420</v>
      </c>
      <c r="B2640" s="486"/>
      <c r="C2640" s="486"/>
      <c r="D2640" s="486"/>
      <c r="E2640" s="486"/>
      <c r="F2640" s="486"/>
      <c r="G2640" s="486"/>
      <c r="H2640" s="486"/>
      <c r="I2640" s="486"/>
    </row>
    <row r="2641" spans="1:9" s="135" customFormat="1" ht="20.25" customHeight="1">
      <c r="A2641" s="486" t="s">
        <v>421</v>
      </c>
      <c r="B2641" s="486"/>
      <c r="C2641" s="486"/>
      <c r="D2641" s="486"/>
      <c r="E2641" s="486"/>
      <c r="F2641" s="486"/>
      <c r="G2641" s="486"/>
      <c r="H2641" s="486"/>
      <c r="I2641" s="486"/>
    </row>
    <row r="2642" spans="1:9" s="135" customFormat="1" ht="20.25" customHeight="1">
      <c r="A2642" s="273"/>
      <c r="B2642" s="273"/>
      <c r="C2642" s="273"/>
      <c r="D2642" s="273"/>
      <c r="E2642" s="273"/>
      <c r="F2642" s="273"/>
      <c r="G2642" s="273"/>
      <c r="H2642" s="273"/>
      <c r="I2642" s="273"/>
    </row>
    <row r="2643" spans="1:8" s="135" customFormat="1" ht="30" customHeight="1">
      <c r="A2643" s="273"/>
      <c r="B2643" s="605" t="s">
        <v>992</v>
      </c>
      <c r="C2643" s="605"/>
      <c r="D2643" s="605"/>
      <c r="E2643" s="273"/>
      <c r="F2643" s="273"/>
      <c r="G2643" s="273"/>
      <c r="H2643" s="273"/>
    </row>
    <row r="2644" spans="1:8" s="135" customFormat="1" ht="20.25" customHeight="1">
      <c r="A2644" s="273"/>
      <c r="B2644" s="273"/>
      <c r="C2644" s="273"/>
      <c r="D2644" s="273"/>
      <c r="E2644" s="273"/>
      <c r="F2644" s="273"/>
      <c r="G2644" s="273"/>
      <c r="H2644" s="273"/>
    </row>
    <row r="2645" spans="1:8" s="135" customFormat="1" ht="20.25" customHeight="1">
      <c r="A2645" s="273"/>
      <c r="B2645" s="273"/>
      <c r="C2645" s="273"/>
      <c r="D2645" s="273"/>
      <c r="E2645" s="273"/>
      <c r="F2645" s="273"/>
      <c r="G2645" s="273"/>
      <c r="H2645" s="273"/>
    </row>
    <row r="2646" spans="1:8" s="135" customFormat="1" ht="20.25" customHeight="1">
      <c r="A2646" s="273"/>
      <c r="B2646" s="273"/>
      <c r="C2646" s="273"/>
      <c r="D2646" s="273"/>
      <c r="E2646" s="273"/>
      <c r="F2646" s="273"/>
      <c r="G2646" s="273"/>
      <c r="H2646" s="273"/>
    </row>
    <row r="2647" spans="1:8" s="135" customFormat="1" ht="20.25" customHeight="1">
      <c r="A2647" s="273"/>
      <c r="B2647" s="273"/>
      <c r="C2647" s="273"/>
      <c r="D2647" s="273"/>
      <c r="E2647" s="273"/>
      <c r="F2647" s="273"/>
      <c r="G2647" s="273"/>
      <c r="H2647" s="273"/>
    </row>
    <row r="2648" spans="1:8" s="135" customFormat="1" ht="20.25" customHeight="1">
      <c r="A2648" s="273"/>
      <c r="B2648" s="273"/>
      <c r="C2648" s="273"/>
      <c r="D2648" s="273"/>
      <c r="E2648" s="273"/>
      <c r="F2648" s="273"/>
      <c r="G2648" s="273"/>
      <c r="H2648" s="273"/>
    </row>
    <row r="2649" spans="1:8" s="135" customFormat="1" ht="20.25" customHeight="1">
      <c r="A2649" s="273"/>
      <c r="B2649" s="273"/>
      <c r="C2649" s="273"/>
      <c r="D2649" s="273"/>
      <c r="E2649" s="273"/>
      <c r="F2649" s="273"/>
      <c r="G2649" s="273"/>
      <c r="H2649" s="273"/>
    </row>
    <row r="2650" spans="1:8" s="135" customFormat="1" ht="20.25" customHeight="1">
      <c r="A2650" s="273"/>
      <c r="B2650" s="273"/>
      <c r="C2650" s="273"/>
      <c r="D2650" s="273"/>
      <c r="E2650" s="273"/>
      <c r="F2650" s="273"/>
      <c r="G2650" s="273"/>
      <c r="H2650" s="273"/>
    </row>
    <row r="2651" spans="1:8" s="135" customFormat="1" ht="30" customHeight="1">
      <c r="A2651" s="273"/>
      <c r="B2651" s="605" t="s">
        <v>993</v>
      </c>
      <c r="C2651" s="605"/>
      <c r="D2651" s="605"/>
      <c r="E2651" s="605"/>
      <c r="F2651" s="273"/>
      <c r="G2651" s="273"/>
      <c r="H2651" s="273"/>
    </row>
    <row r="2652" spans="1:8" s="135" customFormat="1" ht="30" customHeight="1">
      <c r="A2652" s="273"/>
      <c r="B2652" s="297"/>
      <c r="C2652" s="297"/>
      <c r="D2652" s="297"/>
      <c r="E2652" s="297"/>
      <c r="F2652" s="273"/>
      <c r="G2652" s="273"/>
      <c r="H2652" s="273"/>
    </row>
    <row r="2653" spans="1:9" s="135" customFormat="1" ht="20.25" customHeight="1">
      <c r="A2653" s="273"/>
      <c r="E2653" s="273"/>
      <c r="F2653" s="273"/>
      <c r="G2653" s="273"/>
      <c r="H2653" s="273"/>
      <c r="I2653" s="273"/>
    </row>
    <row r="2654" spans="1:9" s="135" customFormat="1" ht="20.25" customHeight="1">
      <c r="A2654" s="280"/>
      <c r="B2654" s="518" t="s">
        <v>422</v>
      </c>
      <c r="C2654" s="518"/>
      <c r="D2654" s="518"/>
      <c r="E2654" s="518"/>
      <c r="F2654" s="518"/>
      <c r="G2654" s="518"/>
      <c r="H2654" s="518"/>
      <c r="I2654" s="518"/>
    </row>
    <row r="2655" spans="1:9" s="135" customFormat="1" ht="20.25" customHeight="1">
      <c r="A2655" s="518" t="s">
        <v>423</v>
      </c>
      <c r="B2655" s="518"/>
      <c r="C2655" s="518"/>
      <c r="D2655" s="518"/>
      <c r="E2655" s="518"/>
      <c r="F2655" s="518"/>
      <c r="G2655" s="518"/>
      <c r="H2655" s="518"/>
      <c r="I2655" s="518"/>
    </row>
    <row r="2656" spans="1:9" s="135" customFormat="1" ht="20.25" customHeight="1">
      <c r="A2656" s="273"/>
      <c r="B2656" s="281"/>
      <c r="C2656" s="281"/>
      <c r="D2656" s="281"/>
      <c r="E2656" s="273"/>
      <c r="F2656" s="273"/>
      <c r="G2656" s="273"/>
      <c r="H2656" s="273"/>
      <c r="I2656" s="273"/>
    </row>
    <row r="2657" spans="1:9" s="135" customFormat="1" ht="20.25" customHeight="1">
      <c r="A2657" s="273"/>
      <c r="B2657" s="297"/>
      <c r="C2657" s="297"/>
      <c r="D2657" s="297"/>
      <c r="E2657" s="297"/>
      <c r="F2657" s="273"/>
      <c r="G2657" s="273"/>
      <c r="H2657" s="273"/>
      <c r="I2657" s="209"/>
    </row>
    <row r="2658" spans="1:9" s="135" customFormat="1" ht="20.25" customHeight="1">
      <c r="A2658" s="273"/>
      <c r="B2658" s="297"/>
      <c r="C2658" s="297"/>
      <c r="D2658" s="297"/>
      <c r="E2658" s="297"/>
      <c r="F2658" s="273"/>
      <c r="G2658" s="273"/>
      <c r="H2658" s="273"/>
      <c r="I2658" s="209"/>
    </row>
    <row r="2659" spans="1:9" s="135" customFormat="1" ht="20.25" customHeight="1">
      <c r="A2659" s="273"/>
      <c r="E2659" s="273"/>
      <c r="F2659" s="273"/>
      <c r="G2659" s="273"/>
      <c r="H2659" s="273"/>
      <c r="I2659" s="441"/>
    </row>
    <row r="2660" spans="1:9" s="135" customFormat="1" ht="20.25" customHeight="1">
      <c r="A2660" s="273"/>
      <c r="E2660" s="273"/>
      <c r="F2660" s="273"/>
      <c r="G2660" s="273"/>
      <c r="H2660" s="273"/>
      <c r="I2660" s="441">
        <v>41</v>
      </c>
    </row>
    <row r="2661" spans="1:8" s="135" customFormat="1" ht="20.25" customHeight="1">
      <c r="A2661" s="273"/>
      <c r="E2661" s="273"/>
      <c r="F2661" s="273"/>
      <c r="G2661" s="273"/>
      <c r="H2661" s="273"/>
    </row>
    <row r="2662" spans="1:8" s="135" customFormat="1" ht="20.25" customHeight="1">
      <c r="A2662" s="273"/>
      <c r="E2662" s="273"/>
      <c r="F2662" s="273"/>
      <c r="G2662" s="273"/>
      <c r="H2662" s="273"/>
    </row>
    <row r="2663" spans="1:8" s="135" customFormat="1" ht="20.25" customHeight="1">
      <c r="A2663" s="273"/>
      <c r="E2663" s="273"/>
      <c r="F2663" s="273"/>
      <c r="G2663" s="273"/>
      <c r="H2663" s="273"/>
    </row>
    <row r="2664" spans="1:9" s="135" customFormat="1" ht="30" customHeight="1">
      <c r="A2664" s="278"/>
      <c r="B2664" s="608" t="s">
        <v>537</v>
      </c>
      <c r="C2664" s="608"/>
      <c r="D2664" s="608"/>
      <c r="E2664" s="608"/>
      <c r="F2664" s="608"/>
      <c r="G2664" s="608"/>
      <c r="I2664" s="272"/>
    </row>
    <row r="2665" spans="1:9" s="135" customFormat="1" ht="30" customHeight="1">
      <c r="A2665" s="278"/>
      <c r="B2665" s="278"/>
      <c r="C2665" s="278"/>
      <c r="D2665" s="278"/>
      <c r="E2665" s="278"/>
      <c r="F2665" s="278"/>
      <c r="G2665" s="278"/>
      <c r="I2665" s="272"/>
    </row>
    <row r="2666" spans="1:9" s="135" customFormat="1" ht="20.25" customHeight="1">
      <c r="A2666" s="278"/>
      <c r="C2666" s="278"/>
      <c r="D2666" s="278"/>
      <c r="E2666" s="278"/>
      <c r="F2666" s="278"/>
      <c r="G2666" s="278"/>
      <c r="I2666" s="272"/>
    </row>
    <row r="2667" spans="1:9" s="135" customFormat="1" ht="20.25" customHeight="1">
      <c r="A2667" s="278"/>
      <c r="B2667" s="278"/>
      <c r="C2667" s="278"/>
      <c r="D2667" s="278"/>
      <c r="E2667" s="278"/>
      <c r="F2667" s="278"/>
      <c r="G2667" s="278"/>
      <c r="I2667" s="272"/>
    </row>
    <row r="2668" spans="1:9" s="135" customFormat="1" ht="20.25" customHeight="1">
      <c r="A2668" s="609" t="s">
        <v>1218</v>
      </c>
      <c r="B2668" s="609"/>
      <c r="C2668" s="609"/>
      <c r="D2668" s="609"/>
      <c r="E2668" s="609"/>
      <c r="F2668" s="609"/>
      <c r="G2668" s="609"/>
      <c r="H2668" s="609"/>
      <c r="I2668" s="609"/>
    </row>
    <row r="2669" spans="1:9" s="135" customFormat="1" ht="20.25" customHeight="1">
      <c r="A2669" s="609" t="s">
        <v>424</v>
      </c>
      <c r="B2669" s="609"/>
      <c r="C2669" s="609"/>
      <c r="D2669" s="609"/>
      <c r="E2669" s="609"/>
      <c r="F2669" s="609"/>
      <c r="G2669" s="609"/>
      <c r="H2669" s="609"/>
      <c r="I2669" s="609"/>
    </row>
    <row r="2670" spans="1:9" s="135" customFormat="1" ht="20.25" customHeight="1">
      <c r="A2670" s="191"/>
      <c r="B2670" s="191"/>
      <c r="C2670" s="191"/>
      <c r="D2670" s="191"/>
      <c r="E2670" s="191"/>
      <c r="F2670" s="191"/>
      <c r="G2670" s="191"/>
      <c r="H2670" s="191"/>
      <c r="I2670" s="191"/>
    </row>
    <row r="2671" spans="1:8" s="135" customFormat="1" ht="20.25" customHeight="1">
      <c r="A2671" s="40"/>
      <c r="B2671" s="39"/>
      <c r="C2671"/>
      <c r="D2671" s="487" t="s">
        <v>682</v>
      </c>
      <c r="E2671" s="487"/>
      <c r="F2671" s="487"/>
      <c r="G2671" s="40"/>
      <c r="H2671" s="40"/>
    </row>
    <row r="2672" spans="1:8" s="135" customFormat="1" ht="20.25" customHeight="1">
      <c r="A2672" s="40"/>
      <c r="B2672" s="40"/>
      <c r="C2672" s="40"/>
      <c r="D2672" s="40"/>
      <c r="E2672" s="40"/>
      <c r="F2672" s="40"/>
      <c r="G2672" s="40"/>
      <c r="H2672" s="40"/>
    </row>
    <row r="2673" spans="1:9" s="135" customFormat="1" ht="20.25" customHeight="1">
      <c r="A2673" s="612" t="s">
        <v>683</v>
      </c>
      <c r="B2673" s="491" t="s">
        <v>688</v>
      </c>
      <c r="C2673" s="492"/>
      <c r="D2673" s="5" t="s">
        <v>686</v>
      </c>
      <c r="E2673" s="5" t="s">
        <v>712</v>
      </c>
      <c r="F2673" s="5" t="s">
        <v>686</v>
      </c>
      <c r="G2673" s="510" t="s">
        <v>713</v>
      </c>
      <c r="H2673" s="511"/>
      <c r="I2673" s="6" t="s">
        <v>714</v>
      </c>
    </row>
    <row r="2674" spans="1:9" s="135" customFormat="1" ht="20.25" customHeight="1">
      <c r="A2674" s="613"/>
      <c r="B2674" s="493"/>
      <c r="C2674" s="494"/>
      <c r="D2674" s="7" t="s">
        <v>656</v>
      </c>
      <c r="E2674" s="7" t="s">
        <v>715</v>
      </c>
      <c r="F2674" s="7" t="s">
        <v>657</v>
      </c>
      <c r="G2674" s="8" t="s">
        <v>706</v>
      </c>
      <c r="H2674" s="9" t="s">
        <v>707</v>
      </c>
      <c r="I2674" s="10" t="s">
        <v>717</v>
      </c>
    </row>
    <row r="2675" spans="1:9" s="135" customFormat="1" ht="20.25" customHeight="1">
      <c r="A2675" s="13">
        <v>1</v>
      </c>
      <c r="B2675" s="295">
        <v>2</v>
      </c>
      <c r="C2675" s="296"/>
      <c r="D2675" s="12">
        <v>3</v>
      </c>
      <c r="E2675" s="12">
        <v>4</v>
      </c>
      <c r="F2675" s="12">
        <v>5</v>
      </c>
      <c r="G2675" s="12">
        <v>6</v>
      </c>
      <c r="H2675" s="12">
        <v>7</v>
      </c>
      <c r="I2675" s="13">
        <v>8</v>
      </c>
    </row>
    <row r="2676" spans="1:9" s="135" customFormat="1" ht="20.25" customHeight="1">
      <c r="A2676" s="188" t="s">
        <v>983</v>
      </c>
      <c r="B2676" s="610" t="s">
        <v>20</v>
      </c>
      <c r="C2676" s="611"/>
      <c r="D2676" s="151">
        <v>31591</v>
      </c>
      <c r="E2676" s="290">
        <v>50000</v>
      </c>
      <c r="F2676" s="25">
        <v>72121</v>
      </c>
      <c r="G2676" s="15">
        <f>F2676/D2676</f>
        <v>2.2829603368047864</v>
      </c>
      <c r="H2676" s="16">
        <f>F2676/E2676</f>
        <v>1.44242</v>
      </c>
      <c r="I2676" s="16">
        <f>F2676/F2678</f>
        <v>1</v>
      </c>
    </row>
    <row r="2677" spans="1:9" s="135" customFormat="1" ht="20.25" customHeight="1">
      <c r="A2677" s="304"/>
      <c r="B2677" s="610" t="s">
        <v>704</v>
      </c>
      <c r="C2677" s="611"/>
      <c r="D2677" s="151">
        <v>0</v>
      </c>
      <c r="E2677" s="290">
        <v>0</v>
      </c>
      <c r="F2677" s="14">
        <v>0</v>
      </c>
      <c r="G2677" s="15" t="e">
        <f>F2677/D2677</f>
        <v>#DIV/0!</v>
      </c>
      <c r="H2677" s="16" t="e">
        <f>F2677/E2677</f>
        <v>#DIV/0!</v>
      </c>
      <c r="I2677" s="16">
        <f>F2677/F2678</f>
        <v>0</v>
      </c>
    </row>
    <row r="2678" spans="1:9" s="135" customFormat="1" ht="30" customHeight="1">
      <c r="A2678" s="17"/>
      <c r="B2678" s="548" t="s">
        <v>919</v>
      </c>
      <c r="C2678" s="549"/>
      <c r="D2678" s="288">
        <f>D2676+D2677</f>
        <v>31591</v>
      </c>
      <c r="E2678" s="288">
        <f>E2676+E2677</f>
        <v>50000</v>
      </c>
      <c r="F2678" s="288">
        <f>F2676+F2677</f>
        <v>72121</v>
      </c>
      <c r="G2678" s="265">
        <f>F2678/D2678</f>
        <v>2.2829603368047864</v>
      </c>
      <c r="H2678" s="266">
        <f>F2678/E2678</f>
        <v>1.44242</v>
      </c>
      <c r="I2678" s="266">
        <f>SUM(I2676:I2677)</f>
        <v>1</v>
      </c>
    </row>
    <row r="2679" spans="1:9" s="135" customFormat="1" ht="20.25" customHeight="1">
      <c r="A2679" s="282"/>
      <c r="B2679" s="283"/>
      <c r="C2679" s="283"/>
      <c r="D2679" s="284"/>
      <c r="E2679" s="285"/>
      <c r="F2679" s="285"/>
      <c r="G2679" s="286"/>
      <c r="H2679" s="287"/>
      <c r="I2679" s="287"/>
    </row>
    <row r="2680" spans="1:9" s="135" customFormat="1" ht="20.25" customHeight="1">
      <c r="A2680" s="599" t="s">
        <v>1217</v>
      </c>
      <c r="B2680" s="599"/>
      <c r="C2680" s="599"/>
      <c r="D2680" s="599"/>
      <c r="E2680" s="599"/>
      <c r="F2680" s="599"/>
      <c r="G2680" s="599"/>
      <c r="H2680" s="599"/>
      <c r="I2680" s="599"/>
    </row>
    <row r="2681" spans="1:6" s="135" customFormat="1" ht="20.25" customHeight="1">
      <c r="A2681" s="282"/>
      <c r="F2681"/>
    </row>
    <row r="2682" spans="1:8" s="135" customFormat="1" ht="20.25" customHeight="1">
      <c r="A2682" s="40"/>
      <c r="B2682" s="40"/>
      <c r="C2682"/>
      <c r="D2682" s="607" t="s">
        <v>682</v>
      </c>
      <c r="E2682" s="607"/>
      <c r="F2682" s="607"/>
      <c r="G2682" s="40"/>
      <c r="H2682" s="40"/>
    </row>
    <row r="2683" spans="1:8" s="135" customFormat="1" ht="20.25" customHeight="1">
      <c r="A2683" s="40"/>
      <c r="B2683" s="40"/>
      <c r="C2683" s="40"/>
      <c r="D2683" s="40"/>
      <c r="E2683" s="40"/>
      <c r="F2683" s="40"/>
      <c r="G2683" s="40"/>
      <c r="H2683" s="40"/>
    </row>
    <row r="2684" spans="1:9" s="135" customFormat="1" ht="20.25" customHeight="1">
      <c r="A2684" s="22" t="s">
        <v>683</v>
      </c>
      <c r="B2684" s="491" t="s">
        <v>688</v>
      </c>
      <c r="C2684" s="492"/>
      <c r="D2684" s="5" t="s">
        <v>686</v>
      </c>
      <c r="E2684" s="5" t="s">
        <v>712</v>
      </c>
      <c r="F2684" s="5" t="s">
        <v>686</v>
      </c>
      <c r="G2684" s="510" t="s">
        <v>713</v>
      </c>
      <c r="H2684" s="511"/>
      <c r="I2684" s="6" t="s">
        <v>714</v>
      </c>
    </row>
    <row r="2685" spans="1:9" s="135" customFormat="1" ht="20.25" customHeight="1">
      <c r="A2685" s="23" t="s">
        <v>97</v>
      </c>
      <c r="B2685" s="493"/>
      <c r="C2685" s="494"/>
      <c r="D2685" s="7" t="s">
        <v>656</v>
      </c>
      <c r="E2685" s="7" t="s">
        <v>715</v>
      </c>
      <c r="F2685" s="7" t="s">
        <v>657</v>
      </c>
      <c r="G2685" s="8" t="s">
        <v>706</v>
      </c>
      <c r="H2685" s="9" t="s">
        <v>707</v>
      </c>
      <c r="I2685" s="10" t="s">
        <v>717</v>
      </c>
    </row>
    <row r="2686" spans="1:9" s="135" customFormat="1" ht="20.25" customHeight="1">
      <c r="A2686" s="13">
        <v>1</v>
      </c>
      <c r="B2686" s="535">
        <v>2</v>
      </c>
      <c r="C2686" s="536"/>
      <c r="D2686" s="12">
        <v>3</v>
      </c>
      <c r="E2686" s="12">
        <v>4</v>
      </c>
      <c r="F2686" s="12">
        <v>5</v>
      </c>
      <c r="G2686" s="12">
        <v>6</v>
      </c>
      <c r="H2686" s="12">
        <v>7</v>
      </c>
      <c r="I2686" s="13">
        <v>8</v>
      </c>
    </row>
    <row r="2687" spans="1:9" s="135" customFormat="1" ht="20.25" customHeight="1">
      <c r="A2687" s="4">
        <v>111</v>
      </c>
      <c r="B2687" s="504" t="s">
        <v>540</v>
      </c>
      <c r="C2687" s="505"/>
      <c r="D2687" s="25">
        <v>790618.22</v>
      </c>
      <c r="E2687" s="25">
        <v>2060886.72</v>
      </c>
      <c r="F2687" s="25">
        <v>899201.42</v>
      </c>
      <c r="G2687" s="15">
        <f aca="true" t="shared" si="110" ref="G2687:G2692">F2687/D2687</f>
        <v>1.1373396125376418</v>
      </c>
      <c r="H2687" s="16">
        <f aca="true" t="shared" si="111" ref="H2687:H2692">F2687/E2687</f>
        <v>0.43631773220412623</v>
      </c>
      <c r="I2687" s="16">
        <f>F2687/F2692</f>
        <v>0.9532629746789181</v>
      </c>
    </row>
    <row r="2688" spans="1:9" s="135" customFormat="1" ht="20.25" customHeight="1">
      <c r="A2688" s="4">
        <v>130</v>
      </c>
      <c r="B2688" s="504" t="s">
        <v>541</v>
      </c>
      <c r="C2688" s="505"/>
      <c r="D2688" s="234">
        <v>45932.16</v>
      </c>
      <c r="E2688" s="14">
        <v>81980</v>
      </c>
      <c r="F2688" s="14">
        <v>29853.61</v>
      </c>
      <c r="G2688" s="15">
        <f t="shared" si="110"/>
        <v>0.6499500567793894</v>
      </c>
      <c r="H2688" s="16">
        <f t="shared" si="111"/>
        <v>0.36415723347157847</v>
      </c>
      <c r="I2688" s="16">
        <f>F2688/F2692</f>
        <v>0.031648461001656664</v>
      </c>
    </row>
    <row r="2689" spans="1:9" s="135" customFormat="1" ht="20.25" customHeight="1">
      <c r="A2689" s="4">
        <v>132</v>
      </c>
      <c r="B2689" s="504" t="s">
        <v>542</v>
      </c>
      <c r="C2689" s="505"/>
      <c r="D2689" s="238">
        <v>13271.13</v>
      </c>
      <c r="E2689" s="25">
        <v>36702</v>
      </c>
      <c r="F2689" s="25">
        <v>14232.86</v>
      </c>
      <c r="G2689" s="15">
        <f t="shared" si="110"/>
        <v>1.072467830546457</v>
      </c>
      <c r="H2689" s="16">
        <f t="shared" si="111"/>
        <v>0.38779521551959023</v>
      </c>
      <c r="I2689" s="16">
        <f>F2689/F2692</f>
        <v>0.015088564319425325</v>
      </c>
    </row>
    <row r="2690" spans="1:9" s="135" customFormat="1" ht="20.25" customHeight="1">
      <c r="A2690" s="4">
        <v>200</v>
      </c>
      <c r="B2690" s="504" t="s">
        <v>543</v>
      </c>
      <c r="C2690" s="505"/>
      <c r="D2690" s="54">
        <v>0</v>
      </c>
      <c r="E2690" s="25">
        <v>0</v>
      </c>
      <c r="F2690" s="25">
        <v>0</v>
      </c>
      <c r="G2690" s="15" t="e">
        <f t="shared" si="110"/>
        <v>#DIV/0!</v>
      </c>
      <c r="H2690" s="16" t="e">
        <f t="shared" si="111"/>
        <v>#DIV/0!</v>
      </c>
      <c r="I2690" s="16">
        <f>F2690/F2692</f>
        <v>0</v>
      </c>
    </row>
    <row r="2691" spans="1:9" s="135" customFormat="1" ht="20.25" customHeight="1">
      <c r="A2691" s="4">
        <v>300</v>
      </c>
      <c r="B2691" s="504" t="s">
        <v>544</v>
      </c>
      <c r="C2691" s="505"/>
      <c r="D2691" s="25">
        <v>41513.02</v>
      </c>
      <c r="E2691" s="25">
        <v>50000</v>
      </c>
      <c r="F2691" s="25">
        <v>0</v>
      </c>
      <c r="G2691" s="15">
        <f t="shared" si="110"/>
        <v>0</v>
      </c>
      <c r="H2691" s="16">
        <f t="shared" si="111"/>
        <v>0</v>
      </c>
      <c r="I2691" s="16">
        <f>F2691/F2692</f>
        <v>0</v>
      </c>
    </row>
    <row r="2692" spans="1:9" s="135" customFormat="1" ht="30" customHeight="1">
      <c r="A2692" s="17"/>
      <c r="B2692" s="548" t="s">
        <v>95</v>
      </c>
      <c r="C2692" s="549"/>
      <c r="D2692" s="288">
        <f>D2687+D2688+D2689+D2690+D2691</f>
        <v>891334.53</v>
      </c>
      <c r="E2692" s="36">
        <f>E2687+E2688+E2689+E2690+E2691</f>
        <v>2229568.7199999997</v>
      </c>
      <c r="F2692" s="211">
        <f>F2687+F2688+F2689+F2690+F2691</f>
        <v>943287.89</v>
      </c>
      <c r="G2692" s="265">
        <f t="shared" si="110"/>
        <v>1.0582871618358598</v>
      </c>
      <c r="H2692" s="266">
        <f t="shared" si="111"/>
        <v>0.4230808772738793</v>
      </c>
      <c r="I2692" s="266">
        <f>SUM(I2687:I2691)</f>
        <v>1</v>
      </c>
    </row>
    <row r="2693" spans="1:8" s="135" customFormat="1" ht="20.25" customHeight="1">
      <c r="A2693" s="49"/>
      <c r="B2693" s="49"/>
      <c r="C2693" s="49"/>
      <c r="D2693" s="49"/>
      <c r="E2693" s="208"/>
      <c r="F2693" s="49"/>
      <c r="G2693" s="49"/>
      <c r="H2693" s="40"/>
    </row>
    <row r="2694" spans="1:9" s="135" customFormat="1" ht="20.25" customHeight="1">
      <c r="A2694" s="299"/>
      <c r="B2694" s="600" t="s">
        <v>425</v>
      </c>
      <c r="C2694" s="600"/>
      <c r="D2694" s="600"/>
      <c r="E2694" s="600"/>
      <c r="F2694" s="600"/>
      <c r="G2694" s="600"/>
      <c r="H2694" s="600"/>
      <c r="I2694" s="600"/>
    </row>
    <row r="2695" spans="1:9" s="135" customFormat="1" ht="20.25" customHeight="1">
      <c r="A2695" s="600" t="s">
        <v>426</v>
      </c>
      <c r="B2695" s="600"/>
      <c r="C2695" s="600"/>
      <c r="D2695" s="600"/>
      <c r="E2695" s="600"/>
      <c r="F2695" s="600"/>
      <c r="G2695" s="600"/>
      <c r="H2695" s="600"/>
      <c r="I2695" s="600"/>
    </row>
    <row r="2696" spans="1:9" s="135" customFormat="1" ht="20.25" customHeight="1">
      <c r="A2696" s="503" t="s">
        <v>1213</v>
      </c>
      <c r="B2696" s="503"/>
      <c r="C2696" s="503"/>
      <c r="D2696" s="503"/>
      <c r="E2696" s="503"/>
      <c r="F2696" s="503"/>
      <c r="G2696" s="503"/>
      <c r="H2696" s="503"/>
      <c r="I2696" s="503"/>
    </row>
    <row r="2697" spans="1:19" s="135" customFormat="1" ht="20.25" customHeight="1">
      <c r="A2697" s="486" t="s">
        <v>427</v>
      </c>
      <c r="B2697" s="486"/>
      <c r="C2697" s="486"/>
      <c r="D2697" s="486"/>
      <c r="E2697" s="486"/>
      <c r="F2697" s="486"/>
      <c r="G2697" s="486"/>
      <c r="H2697" s="486"/>
      <c r="I2697" s="486"/>
      <c r="Q2697" s="141"/>
      <c r="R2697" s="141"/>
      <c r="S2697" s="141"/>
    </row>
    <row r="2698" spans="1:19" s="135" customFormat="1" ht="20.25" customHeight="1">
      <c r="A2698" s="486" t="s">
        <v>1214</v>
      </c>
      <c r="B2698" s="486"/>
      <c r="C2698" s="486"/>
      <c r="D2698" s="486"/>
      <c r="E2698" s="486"/>
      <c r="F2698" s="486"/>
      <c r="G2698" s="486"/>
      <c r="H2698" s="486"/>
      <c r="I2698" s="486"/>
      <c r="Q2698" s="141"/>
      <c r="R2698" s="141"/>
      <c r="S2698" s="141"/>
    </row>
    <row r="2699" spans="1:19" s="135" customFormat="1" ht="20.25" customHeight="1">
      <c r="A2699" s="486" t="s">
        <v>1215</v>
      </c>
      <c r="B2699" s="486"/>
      <c r="C2699" s="486"/>
      <c r="D2699" s="486"/>
      <c r="E2699" s="486"/>
      <c r="F2699" s="486"/>
      <c r="G2699" s="486"/>
      <c r="H2699" s="486"/>
      <c r="I2699" s="486"/>
      <c r="Q2699" s="141"/>
      <c r="R2699" s="141"/>
      <c r="S2699" s="141"/>
    </row>
    <row r="2700" spans="1:19" s="135" customFormat="1" ht="20.25" customHeight="1">
      <c r="A2700" s="486" t="s">
        <v>1216</v>
      </c>
      <c r="B2700" s="486"/>
      <c r="C2700" s="486"/>
      <c r="D2700" s="486"/>
      <c r="E2700" s="486"/>
      <c r="F2700" s="486"/>
      <c r="G2700" s="486"/>
      <c r="H2700" s="486"/>
      <c r="I2700" s="486"/>
      <c r="Q2700" s="141"/>
      <c r="R2700" s="141"/>
      <c r="S2700" s="186"/>
    </row>
    <row r="2701" spans="1:19" s="135" customFormat="1" ht="20.25" customHeight="1">
      <c r="A2701" s="486" t="s">
        <v>533</v>
      </c>
      <c r="B2701" s="486"/>
      <c r="C2701" s="486"/>
      <c r="D2701" s="486"/>
      <c r="E2701" s="486"/>
      <c r="F2701" s="486"/>
      <c r="G2701" s="486"/>
      <c r="H2701" s="486"/>
      <c r="I2701" s="486"/>
      <c r="Q2701" s="141"/>
      <c r="R2701" s="141"/>
      <c r="S2701" s="141"/>
    </row>
    <row r="2702" spans="1:19" s="135" customFormat="1" ht="20.25" customHeight="1">
      <c r="A2702" s="486" t="s">
        <v>534</v>
      </c>
      <c r="B2702" s="486"/>
      <c r="C2702" s="486"/>
      <c r="D2702" s="486"/>
      <c r="E2702" s="486"/>
      <c r="F2702" s="486"/>
      <c r="G2702" s="486"/>
      <c r="H2702" s="486"/>
      <c r="I2702" s="486"/>
      <c r="Q2702" s="141"/>
      <c r="R2702" s="141"/>
      <c r="S2702" s="141"/>
    </row>
    <row r="2703" spans="1:19" s="135" customFormat="1" ht="20.25" customHeight="1">
      <c r="A2703" s="39"/>
      <c r="B2703" s="39"/>
      <c r="C2703" s="39"/>
      <c r="D2703" s="39"/>
      <c r="E2703" s="39"/>
      <c r="F2703" s="39"/>
      <c r="G2703" s="39"/>
      <c r="H2703" s="39"/>
      <c r="I2703" s="39"/>
      <c r="Q2703" s="141"/>
      <c r="R2703" s="141"/>
      <c r="S2703" s="141"/>
    </row>
    <row r="2704" spans="1:19" s="135" customFormat="1" ht="20.25" customHeight="1">
      <c r="A2704" s="273"/>
      <c r="B2704" s="273"/>
      <c r="C2704" s="273"/>
      <c r="D2704" s="273"/>
      <c r="E2704" s="273"/>
      <c r="F2704" s="273"/>
      <c r="G2704" s="273"/>
      <c r="H2704" s="273"/>
      <c r="I2704" s="273"/>
      <c r="Q2704" s="141"/>
      <c r="R2704" s="141"/>
      <c r="S2704" s="141"/>
    </row>
    <row r="2705" spans="1:19" s="135" customFormat="1" ht="30" customHeight="1">
      <c r="A2705" s="273"/>
      <c r="B2705" s="605" t="s">
        <v>992</v>
      </c>
      <c r="C2705" s="605"/>
      <c r="D2705" s="605"/>
      <c r="E2705" s="273"/>
      <c r="F2705" s="273"/>
      <c r="G2705" s="273"/>
      <c r="H2705" s="273"/>
      <c r="Q2705" s="141"/>
      <c r="R2705" s="141"/>
      <c r="S2705" s="141"/>
    </row>
    <row r="2706" spans="1:19" s="135" customFormat="1" ht="30" customHeight="1">
      <c r="A2706" s="273"/>
      <c r="B2706" s="297"/>
      <c r="C2706" s="297"/>
      <c r="D2706" s="297"/>
      <c r="E2706" s="273"/>
      <c r="F2706" s="273"/>
      <c r="G2706" s="273"/>
      <c r="H2706" s="273"/>
      <c r="Q2706" s="141"/>
      <c r="R2706" s="141"/>
      <c r="S2706" s="141"/>
    </row>
    <row r="2707" spans="1:19" s="135" customFormat="1" ht="20.25" customHeight="1">
      <c r="A2707" s="273"/>
      <c r="B2707" s="297"/>
      <c r="C2707" s="297"/>
      <c r="D2707" s="297"/>
      <c r="E2707" s="273"/>
      <c r="F2707" s="273"/>
      <c r="G2707" s="273"/>
      <c r="H2707" s="273"/>
      <c r="Q2707" s="141"/>
      <c r="R2707" s="141"/>
      <c r="S2707" s="141"/>
    </row>
    <row r="2708" spans="1:19" s="135" customFormat="1" ht="20.25" customHeight="1">
      <c r="A2708" s="273"/>
      <c r="B2708" s="297"/>
      <c r="C2708" s="297"/>
      <c r="D2708" s="297"/>
      <c r="E2708" s="273"/>
      <c r="F2708" s="273"/>
      <c r="G2708" s="273"/>
      <c r="H2708" s="273"/>
      <c r="Q2708" s="141"/>
      <c r="R2708" s="141"/>
      <c r="S2708" s="141"/>
    </row>
    <row r="2709" spans="1:19" s="135" customFormat="1" ht="20.25" customHeight="1">
      <c r="A2709" s="273"/>
      <c r="B2709" s="297"/>
      <c r="C2709" s="297"/>
      <c r="D2709" s="297"/>
      <c r="E2709" s="273"/>
      <c r="F2709" s="273"/>
      <c r="G2709" s="273"/>
      <c r="H2709" s="273"/>
      <c r="Q2709" s="141"/>
      <c r="R2709" s="141"/>
      <c r="S2709" s="141"/>
    </row>
    <row r="2710" spans="1:19" s="135" customFormat="1" ht="20.25" customHeight="1">
      <c r="A2710" s="273"/>
      <c r="B2710" s="273"/>
      <c r="C2710" s="273"/>
      <c r="D2710" s="273"/>
      <c r="E2710" s="273"/>
      <c r="F2710" s="273"/>
      <c r="G2710" s="273"/>
      <c r="H2710" s="273"/>
      <c r="Q2710" s="141"/>
      <c r="R2710" s="141"/>
      <c r="S2710" s="141"/>
    </row>
    <row r="2711" spans="1:19" s="135" customFormat="1" ht="20.25" customHeight="1">
      <c r="A2711" s="273"/>
      <c r="B2711" s="273"/>
      <c r="C2711" s="273"/>
      <c r="D2711" s="273"/>
      <c r="E2711" s="273"/>
      <c r="F2711" s="273"/>
      <c r="G2711" s="273"/>
      <c r="H2711" s="273"/>
      <c r="Q2711" s="141"/>
      <c r="R2711" s="141"/>
      <c r="S2711" s="141"/>
    </row>
    <row r="2712" spans="1:19" s="135" customFormat="1" ht="20.25" customHeight="1">
      <c r="A2712" s="273"/>
      <c r="B2712" s="273"/>
      <c r="C2712" s="273"/>
      <c r="D2712" s="273"/>
      <c r="E2712" s="273"/>
      <c r="F2712" s="273"/>
      <c r="G2712" s="273"/>
      <c r="H2712" s="273"/>
      <c r="Q2712" s="141"/>
      <c r="R2712" s="141"/>
      <c r="S2712" s="141"/>
    </row>
    <row r="2713" spans="1:19" s="135" customFormat="1" ht="30" customHeight="1">
      <c r="A2713" s="273"/>
      <c r="B2713" s="605" t="s">
        <v>993</v>
      </c>
      <c r="C2713" s="605"/>
      <c r="D2713" s="605"/>
      <c r="E2713" s="605"/>
      <c r="F2713" s="273"/>
      <c r="G2713" s="273"/>
      <c r="H2713" s="273"/>
      <c r="Q2713" s="186"/>
      <c r="R2713" s="141"/>
      <c r="S2713" s="141"/>
    </row>
    <row r="2714" spans="1:8" s="135" customFormat="1" ht="30" customHeight="1">
      <c r="A2714" s="273"/>
      <c r="B2714" s="297"/>
      <c r="C2714" s="297"/>
      <c r="D2714" s="297"/>
      <c r="E2714" s="297"/>
      <c r="F2714" s="273"/>
      <c r="G2714" s="273"/>
      <c r="H2714" s="273"/>
    </row>
    <row r="2715" spans="1:8" s="135" customFormat="1" ht="30" customHeight="1">
      <c r="A2715" s="273"/>
      <c r="B2715" s="297"/>
      <c r="C2715" s="297"/>
      <c r="D2715" s="297"/>
      <c r="E2715" s="297"/>
      <c r="F2715" s="273"/>
      <c r="G2715" s="273"/>
      <c r="H2715" s="273"/>
    </row>
    <row r="2716" spans="1:9" s="135" customFormat="1" ht="20.25" customHeight="1">
      <c r="A2716" s="273"/>
      <c r="E2716" s="273"/>
      <c r="F2716" s="273"/>
      <c r="G2716" s="273"/>
      <c r="H2716" s="273"/>
      <c r="I2716" s="273"/>
    </row>
    <row r="2717" spans="1:8" s="135" customFormat="1" ht="20.25" customHeight="1">
      <c r="A2717" s="273"/>
      <c r="B2717" s="281"/>
      <c r="C2717" s="281"/>
      <c r="D2717" s="281"/>
      <c r="E2717" s="273"/>
      <c r="F2717" s="273"/>
      <c r="G2717" s="273"/>
      <c r="H2717" s="273"/>
    </row>
    <row r="2718" spans="1:9" s="135" customFormat="1" ht="20.25" customHeight="1">
      <c r="A2718" s="273"/>
      <c r="B2718" s="281"/>
      <c r="C2718" s="281"/>
      <c r="D2718" s="281"/>
      <c r="E2718" s="273"/>
      <c r="F2718" s="273"/>
      <c r="G2718" s="273"/>
      <c r="H2718" s="273"/>
      <c r="I2718" s="443"/>
    </row>
    <row r="2719" spans="1:9" s="135" customFormat="1" ht="20.25" customHeight="1">
      <c r="A2719" s="273"/>
      <c r="B2719" s="281"/>
      <c r="C2719" s="281"/>
      <c r="D2719" s="281"/>
      <c r="E2719" s="273"/>
      <c r="F2719" s="273"/>
      <c r="G2719" s="273"/>
      <c r="H2719" s="273"/>
      <c r="I2719" s="443">
        <v>42</v>
      </c>
    </row>
    <row r="2720" spans="1:8" s="135" customFormat="1" ht="20.25" customHeight="1">
      <c r="A2720" s="273"/>
      <c r="B2720" s="281"/>
      <c r="C2720" s="281"/>
      <c r="D2720" s="281"/>
      <c r="E2720" s="273"/>
      <c r="F2720" s="273"/>
      <c r="G2720" s="273"/>
      <c r="H2720" s="273"/>
    </row>
    <row r="2721" spans="1:8" s="135" customFormat="1" ht="20.25" customHeight="1">
      <c r="A2721" s="273"/>
      <c r="B2721" s="297"/>
      <c r="C2721" s="297"/>
      <c r="D2721" s="297"/>
      <c r="E2721" s="297"/>
      <c r="F2721" s="273"/>
      <c r="G2721" s="273"/>
      <c r="H2721" s="273"/>
    </row>
    <row r="2722" spans="1:8" s="135" customFormat="1" ht="20.25" customHeight="1">
      <c r="A2722" s="273"/>
      <c r="B2722" s="297"/>
      <c r="C2722" s="297"/>
      <c r="D2722" s="297"/>
      <c r="E2722" s="297"/>
      <c r="F2722" s="273"/>
      <c r="G2722" s="273"/>
      <c r="H2722" s="273"/>
    </row>
    <row r="2723" spans="1:8" s="135" customFormat="1" ht="20.25" customHeight="1">
      <c r="A2723" s="273"/>
      <c r="B2723" s="297"/>
      <c r="C2723" s="297"/>
      <c r="D2723" s="297"/>
      <c r="E2723" s="297"/>
      <c r="F2723" s="273"/>
      <c r="G2723" s="273"/>
      <c r="H2723" s="273"/>
    </row>
    <row r="2724" spans="1:8" s="135" customFormat="1" ht="20.25" customHeight="1">
      <c r="A2724" s="273"/>
      <c r="B2724" s="297"/>
      <c r="C2724" s="297"/>
      <c r="D2724" s="297"/>
      <c r="E2724" s="297"/>
      <c r="F2724" s="273"/>
      <c r="G2724" s="273"/>
      <c r="H2724" s="273"/>
    </row>
    <row r="2725" spans="1:8" s="135" customFormat="1" ht="20.25" customHeight="1">
      <c r="A2725" s="273"/>
      <c r="B2725" s="297"/>
      <c r="C2725" s="297"/>
      <c r="D2725" s="297"/>
      <c r="E2725" s="297"/>
      <c r="F2725" s="273"/>
      <c r="G2725" s="273"/>
      <c r="H2725" s="273"/>
    </row>
    <row r="2726" spans="1:8" s="135" customFormat="1" ht="20.25" customHeight="1">
      <c r="A2726" s="273"/>
      <c r="B2726" s="297"/>
      <c r="C2726" s="297"/>
      <c r="D2726" s="297"/>
      <c r="E2726" s="297"/>
      <c r="F2726" s="273"/>
      <c r="G2726" s="273"/>
      <c r="H2726" s="273"/>
    </row>
    <row r="2727" spans="1:8" s="135" customFormat="1" ht="20.25" customHeight="1">
      <c r="A2727" s="273"/>
      <c r="B2727" s="297"/>
      <c r="C2727" s="297"/>
      <c r="D2727" s="297"/>
      <c r="E2727" s="297"/>
      <c r="F2727" s="273"/>
      <c r="G2727" s="273"/>
      <c r="H2727" s="273"/>
    </row>
    <row r="2728" spans="1:8" s="135" customFormat="1" ht="20.25" customHeight="1">
      <c r="A2728" s="273"/>
      <c r="B2728" s="297"/>
      <c r="C2728" s="297"/>
      <c r="D2728" s="297"/>
      <c r="E2728" s="297"/>
      <c r="F2728" s="273"/>
      <c r="G2728" s="273"/>
      <c r="H2728" s="273"/>
    </row>
    <row r="2729" spans="1:8" s="135" customFormat="1" ht="20.25" customHeight="1">
      <c r="A2729" s="273"/>
      <c r="B2729" s="297"/>
      <c r="C2729" s="297"/>
      <c r="D2729" s="297"/>
      <c r="E2729" s="297"/>
      <c r="F2729" s="273"/>
      <c r="G2729" s="273"/>
      <c r="H2729" s="273"/>
    </row>
    <row r="2730" spans="1:8" s="135" customFormat="1" ht="20.25" customHeight="1">
      <c r="A2730" s="273"/>
      <c r="B2730" s="297"/>
      <c r="C2730" s="297"/>
      <c r="D2730" s="297"/>
      <c r="E2730" s="297"/>
      <c r="F2730" s="273"/>
      <c r="G2730" s="273"/>
      <c r="H2730" s="273"/>
    </row>
    <row r="2731" spans="1:8" s="135" customFormat="1" ht="20.25" customHeight="1">
      <c r="A2731" s="273"/>
      <c r="B2731" s="297"/>
      <c r="C2731" s="297"/>
      <c r="D2731" s="297"/>
      <c r="E2731" s="297"/>
      <c r="F2731" s="273"/>
      <c r="G2731" s="273"/>
      <c r="H2731" s="273"/>
    </row>
    <row r="2732" spans="1:8" s="135" customFormat="1" ht="20.25" customHeight="1">
      <c r="A2732" s="273"/>
      <c r="B2732" s="297"/>
      <c r="C2732" s="297"/>
      <c r="D2732" s="297"/>
      <c r="E2732" s="297"/>
      <c r="F2732" s="273"/>
      <c r="G2732" s="273"/>
      <c r="H2732" s="273"/>
    </row>
    <row r="2733" spans="1:8" s="135" customFormat="1" ht="20.25" customHeight="1">
      <c r="A2733" s="273"/>
      <c r="B2733" s="297"/>
      <c r="C2733" s="297"/>
      <c r="D2733" s="297"/>
      <c r="E2733" s="297"/>
      <c r="F2733" s="273"/>
      <c r="G2733" s="273"/>
      <c r="H2733" s="273"/>
    </row>
    <row r="2734" spans="1:8" s="135" customFormat="1" ht="20.25" customHeight="1">
      <c r="A2734" s="273"/>
      <c r="B2734" s="297"/>
      <c r="C2734" s="297"/>
      <c r="D2734" s="297"/>
      <c r="E2734" s="297"/>
      <c r="F2734" s="273"/>
      <c r="G2734" s="273"/>
      <c r="H2734" s="273"/>
    </row>
    <row r="2735" spans="1:8" s="135" customFormat="1" ht="20.25" customHeight="1">
      <c r="A2735" s="273"/>
      <c r="B2735" s="297"/>
      <c r="C2735" s="297"/>
      <c r="D2735" s="297"/>
      <c r="E2735" s="297"/>
      <c r="F2735" s="273"/>
      <c r="G2735" s="273"/>
      <c r="H2735" s="273"/>
    </row>
    <row r="2736" spans="1:8" s="135" customFormat="1" ht="20.25" customHeight="1">
      <c r="A2736" s="273"/>
      <c r="B2736" s="297"/>
      <c r="C2736" s="297"/>
      <c r="D2736" s="297"/>
      <c r="E2736" s="297"/>
      <c r="F2736" s="273"/>
      <c r="G2736" s="273"/>
      <c r="H2736" s="273"/>
    </row>
    <row r="2737" spans="1:8" s="135" customFormat="1" ht="20.25" customHeight="1">
      <c r="A2737" s="273"/>
      <c r="B2737" s="297"/>
      <c r="C2737" s="297"/>
      <c r="D2737" s="297"/>
      <c r="E2737" s="297"/>
      <c r="F2737" s="273"/>
      <c r="G2737" s="273"/>
      <c r="H2737" s="273"/>
    </row>
    <row r="2738" spans="1:8" s="135" customFormat="1" ht="20.25" customHeight="1">
      <c r="A2738" s="273"/>
      <c r="B2738" s="297"/>
      <c r="C2738" s="297"/>
      <c r="D2738" s="297"/>
      <c r="E2738" s="297"/>
      <c r="F2738" s="273"/>
      <c r="G2738" s="273"/>
      <c r="H2738" s="273"/>
    </row>
    <row r="2739" spans="1:8" s="135" customFormat="1" ht="20.25" customHeight="1">
      <c r="A2739" s="273"/>
      <c r="B2739" s="297"/>
      <c r="C2739" s="297"/>
      <c r="D2739" s="297"/>
      <c r="E2739" s="297"/>
      <c r="F2739" s="273"/>
      <c r="G2739" s="273"/>
      <c r="H2739" s="273"/>
    </row>
    <row r="2740" spans="1:8" s="135" customFormat="1" ht="20.25" customHeight="1">
      <c r="A2740" s="273"/>
      <c r="B2740" s="297"/>
      <c r="C2740" s="297"/>
      <c r="D2740" s="297"/>
      <c r="E2740" s="297"/>
      <c r="F2740" s="273"/>
      <c r="G2740" s="273"/>
      <c r="H2740" s="273"/>
    </row>
    <row r="2741" spans="1:8" s="135" customFormat="1" ht="20.25" customHeight="1">
      <c r="A2741" s="273"/>
      <c r="B2741" s="297"/>
      <c r="C2741" s="297"/>
      <c r="D2741" s="297"/>
      <c r="E2741" s="297"/>
      <c r="F2741" s="273"/>
      <c r="G2741" s="273"/>
      <c r="H2741" s="273"/>
    </row>
    <row r="2742" spans="1:8" s="135" customFormat="1" ht="20.25" customHeight="1">
      <c r="A2742" s="273"/>
      <c r="B2742" s="297"/>
      <c r="C2742" s="297"/>
      <c r="D2742" s="297"/>
      <c r="E2742" s="297"/>
      <c r="F2742" s="273"/>
      <c r="G2742" s="273"/>
      <c r="H2742" s="273"/>
    </row>
    <row r="2743" spans="1:8" s="135" customFormat="1" ht="20.25" customHeight="1">
      <c r="A2743" s="273"/>
      <c r="B2743" s="297"/>
      <c r="C2743" s="297"/>
      <c r="D2743" s="297"/>
      <c r="E2743" s="297"/>
      <c r="F2743" s="273"/>
      <c r="G2743" s="273"/>
      <c r="H2743" s="273"/>
    </row>
    <row r="2744" spans="1:8" s="135" customFormat="1" ht="20.25" customHeight="1">
      <c r="A2744" s="273"/>
      <c r="B2744" s="297"/>
      <c r="C2744" s="297"/>
      <c r="D2744" s="297"/>
      <c r="E2744" s="297"/>
      <c r="F2744" s="273"/>
      <c r="G2744" s="273"/>
      <c r="H2744" s="273"/>
    </row>
    <row r="2745" spans="1:8" s="135" customFormat="1" ht="20.25" customHeight="1">
      <c r="A2745" s="273"/>
      <c r="B2745" s="297"/>
      <c r="C2745" s="297"/>
      <c r="D2745" s="297"/>
      <c r="E2745" s="297"/>
      <c r="F2745" s="273"/>
      <c r="G2745" s="273"/>
      <c r="H2745" s="273"/>
    </row>
    <row r="2746" spans="1:8" s="135" customFormat="1" ht="20.25" customHeight="1">
      <c r="A2746" s="273"/>
      <c r="B2746" s="297"/>
      <c r="C2746" s="297"/>
      <c r="D2746" s="297"/>
      <c r="E2746" s="297"/>
      <c r="F2746" s="273"/>
      <c r="G2746" s="273"/>
      <c r="H2746" s="273"/>
    </row>
    <row r="2747" spans="1:8" s="135" customFormat="1" ht="20.25" customHeight="1">
      <c r="A2747" s="273"/>
      <c r="B2747" s="297"/>
      <c r="C2747" s="297"/>
      <c r="D2747" s="297"/>
      <c r="E2747" s="297"/>
      <c r="F2747" s="273"/>
      <c r="G2747" s="273"/>
      <c r="H2747" s="273"/>
    </row>
    <row r="2748" spans="1:8" s="135" customFormat="1" ht="20.25" customHeight="1">
      <c r="A2748" s="273"/>
      <c r="B2748" s="297"/>
      <c r="C2748" s="297"/>
      <c r="D2748" s="297"/>
      <c r="E2748" s="297"/>
      <c r="F2748" s="273"/>
      <c r="G2748" s="273"/>
      <c r="H2748" s="273"/>
    </row>
    <row r="2749" spans="1:8" s="135" customFormat="1" ht="20.25" customHeight="1">
      <c r="A2749" s="273"/>
      <c r="B2749" s="297"/>
      <c r="C2749" s="297"/>
      <c r="D2749" s="297"/>
      <c r="E2749" s="297"/>
      <c r="F2749" s="273"/>
      <c r="G2749" s="273"/>
      <c r="H2749" s="273"/>
    </row>
    <row r="2750" spans="1:8" s="135" customFormat="1" ht="20.25" customHeight="1">
      <c r="A2750" s="273"/>
      <c r="B2750" s="297"/>
      <c r="C2750" s="297"/>
      <c r="D2750" s="297"/>
      <c r="E2750" s="297"/>
      <c r="F2750" s="273"/>
      <c r="G2750" s="273"/>
      <c r="H2750" s="273"/>
    </row>
    <row r="2751" spans="1:8" s="135" customFormat="1" ht="20.25" customHeight="1">
      <c r="A2751" s="273"/>
      <c r="B2751" s="297"/>
      <c r="C2751" s="297"/>
      <c r="D2751" s="297"/>
      <c r="E2751" s="297"/>
      <c r="F2751" s="273"/>
      <c r="G2751" s="273"/>
      <c r="H2751" s="273"/>
    </row>
    <row r="2752" spans="1:8" s="135" customFormat="1" ht="20.25" customHeight="1">
      <c r="A2752" s="273"/>
      <c r="B2752" s="297"/>
      <c r="C2752" s="297"/>
      <c r="D2752" s="297"/>
      <c r="E2752" s="297"/>
      <c r="F2752" s="273"/>
      <c r="G2752" s="273"/>
      <c r="H2752" s="273"/>
    </row>
    <row r="2753" spans="1:8" s="135" customFormat="1" ht="20.25" customHeight="1">
      <c r="A2753" s="273"/>
      <c r="B2753" s="297"/>
      <c r="C2753" s="297"/>
      <c r="D2753" s="297"/>
      <c r="E2753" s="297"/>
      <c r="F2753" s="273"/>
      <c r="G2753" s="273"/>
      <c r="H2753" s="273"/>
    </row>
    <row r="2754" spans="1:8" s="135" customFormat="1" ht="20.25" customHeight="1">
      <c r="A2754" s="273"/>
      <c r="B2754" s="297"/>
      <c r="C2754" s="297"/>
      <c r="D2754" s="297"/>
      <c r="E2754" s="297"/>
      <c r="F2754" s="273"/>
      <c r="G2754" s="273"/>
      <c r="H2754" s="273"/>
    </row>
    <row r="2755" spans="1:8" s="135" customFormat="1" ht="20.25" customHeight="1">
      <c r="A2755" s="273"/>
      <c r="B2755" s="297"/>
      <c r="C2755" s="297"/>
      <c r="D2755" s="297"/>
      <c r="E2755" s="297"/>
      <c r="F2755" s="273"/>
      <c r="G2755" s="273"/>
      <c r="H2755" s="273"/>
    </row>
    <row r="2756" spans="1:8" s="135" customFormat="1" ht="20.25" customHeight="1">
      <c r="A2756" s="273"/>
      <c r="B2756" s="297"/>
      <c r="C2756" s="297"/>
      <c r="D2756" s="297"/>
      <c r="E2756" s="297"/>
      <c r="F2756" s="273"/>
      <c r="G2756" s="273"/>
      <c r="H2756" s="273"/>
    </row>
    <row r="2757" spans="1:8" s="135" customFormat="1" ht="20.25" customHeight="1">
      <c r="A2757" s="273"/>
      <c r="B2757" s="297"/>
      <c r="C2757" s="297"/>
      <c r="D2757" s="297"/>
      <c r="E2757" s="297"/>
      <c r="F2757" s="273"/>
      <c r="G2757" s="273"/>
      <c r="H2757" s="273"/>
    </row>
    <row r="2758" spans="1:8" s="135" customFormat="1" ht="20.25" customHeight="1">
      <c r="A2758" s="273"/>
      <c r="B2758" s="297"/>
      <c r="C2758" s="297"/>
      <c r="D2758" s="297"/>
      <c r="E2758" s="297"/>
      <c r="F2758" s="273"/>
      <c r="G2758" s="273"/>
      <c r="H2758" s="273"/>
    </row>
    <row r="2759" spans="1:8" s="135" customFormat="1" ht="20.25" customHeight="1">
      <c r="A2759" s="273"/>
      <c r="B2759" s="297"/>
      <c r="C2759" s="297"/>
      <c r="D2759" s="297"/>
      <c r="E2759" s="297"/>
      <c r="F2759" s="273"/>
      <c r="G2759" s="273"/>
      <c r="H2759" s="273"/>
    </row>
    <row r="2760" spans="1:8" s="135" customFormat="1" ht="20.25" customHeight="1">
      <c r="A2760" s="273"/>
      <c r="B2760" s="297"/>
      <c r="C2760" s="297"/>
      <c r="D2760" s="297"/>
      <c r="E2760" s="297"/>
      <c r="F2760" s="273"/>
      <c r="G2760" s="273"/>
      <c r="H2760" s="273"/>
    </row>
    <row r="2761" spans="1:8" s="135" customFormat="1" ht="20.25" customHeight="1">
      <c r="A2761" s="273"/>
      <c r="B2761" s="297"/>
      <c r="C2761" s="297"/>
      <c r="D2761" s="297"/>
      <c r="E2761" s="297"/>
      <c r="F2761" s="273"/>
      <c r="G2761" s="273"/>
      <c r="H2761" s="273"/>
    </row>
    <row r="2762" spans="1:8" s="135" customFormat="1" ht="20.25" customHeight="1">
      <c r="A2762" s="273"/>
      <c r="B2762" s="297"/>
      <c r="C2762" s="297"/>
      <c r="D2762" s="297"/>
      <c r="E2762" s="297"/>
      <c r="F2762" s="273"/>
      <c r="G2762" s="273"/>
      <c r="H2762" s="273"/>
    </row>
    <row r="2763" spans="1:8" s="135" customFormat="1" ht="20.25" customHeight="1">
      <c r="A2763" s="273"/>
      <c r="B2763" s="297"/>
      <c r="C2763" s="297"/>
      <c r="D2763" s="297"/>
      <c r="E2763" s="297"/>
      <c r="F2763" s="273"/>
      <c r="G2763" s="273"/>
      <c r="H2763" s="273"/>
    </row>
    <row r="2764" spans="1:8" s="135" customFormat="1" ht="20.25" customHeight="1">
      <c r="A2764" s="273"/>
      <c r="B2764" s="297"/>
      <c r="C2764" s="297"/>
      <c r="D2764" s="297"/>
      <c r="E2764" s="297"/>
      <c r="F2764" s="273"/>
      <c r="G2764" s="273"/>
      <c r="H2764" s="273"/>
    </row>
    <row r="2765" spans="1:8" s="135" customFormat="1" ht="20.25" customHeight="1">
      <c r="A2765" s="273"/>
      <c r="B2765" s="297"/>
      <c r="C2765" s="297"/>
      <c r="D2765" s="297"/>
      <c r="E2765" s="297"/>
      <c r="F2765" s="273"/>
      <c r="G2765" s="273"/>
      <c r="H2765" s="273"/>
    </row>
    <row r="2766" spans="1:8" s="135" customFormat="1" ht="20.25" customHeight="1">
      <c r="A2766" s="273"/>
      <c r="B2766" s="297"/>
      <c r="C2766" s="297"/>
      <c r="D2766" s="297"/>
      <c r="E2766" s="297"/>
      <c r="F2766" s="273"/>
      <c r="G2766" s="273"/>
      <c r="H2766" s="273"/>
    </row>
    <row r="2767" spans="1:8" s="135" customFormat="1" ht="20.25" customHeight="1">
      <c r="A2767" s="273"/>
      <c r="B2767" s="297"/>
      <c r="C2767" s="297"/>
      <c r="D2767" s="297"/>
      <c r="E2767" s="297"/>
      <c r="F2767" s="273"/>
      <c r="G2767" s="273"/>
      <c r="H2767" s="273"/>
    </row>
    <row r="2768" spans="1:8" s="135" customFormat="1" ht="20.25" customHeight="1">
      <c r="A2768" s="273"/>
      <c r="B2768" s="297"/>
      <c r="C2768" s="297"/>
      <c r="D2768" s="297"/>
      <c r="E2768" s="297"/>
      <c r="F2768" s="273"/>
      <c r="G2768" s="273"/>
      <c r="H2768" s="273"/>
    </row>
    <row r="2769" spans="1:8" s="135" customFormat="1" ht="20.25" customHeight="1">
      <c r="A2769" s="273"/>
      <c r="B2769" s="297"/>
      <c r="C2769" s="297"/>
      <c r="D2769" s="297"/>
      <c r="E2769" s="297"/>
      <c r="F2769" s="273"/>
      <c r="G2769" s="273"/>
      <c r="H2769" s="273"/>
    </row>
    <row r="2770" spans="1:8" s="135" customFormat="1" ht="20.25" customHeight="1">
      <c r="A2770" s="273"/>
      <c r="B2770" s="297"/>
      <c r="C2770" s="297"/>
      <c r="D2770" s="297"/>
      <c r="E2770" s="297"/>
      <c r="F2770" s="273"/>
      <c r="G2770" s="273"/>
      <c r="H2770" s="273"/>
    </row>
    <row r="2771" spans="1:8" s="135" customFormat="1" ht="20.25" customHeight="1">
      <c r="A2771" s="273"/>
      <c r="B2771" s="297"/>
      <c r="C2771" s="297"/>
      <c r="D2771" s="297"/>
      <c r="E2771" s="297"/>
      <c r="F2771" s="273"/>
      <c r="G2771" s="273"/>
      <c r="H2771" s="273"/>
    </row>
    <row r="2772" spans="1:8" s="135" customFormat="1" ht="20.25" customHeight="1">
      <c r="A2772" s="273"/>
      <c r="B2772" s="297"/>
      <c r="C2772" s="297"/>
      <c r="D2772" s="297"/>
      <c r="E2772" s="297"/>
      <c r="F2772" s="273"/>
      <c r="G2772" s="273"/>
      <c r="H2772" s="273"/>
    </row>
    <row r="2773" spans="1:8" s="135" customFormat="1" ht="20.25" customHeight="1">
      <c r="A2773" s="273"/>
      <c r="B2773" s="297"/>
      <c r="C2773" s="297"/>
      <c r="D2773" s="297"/>
      <c r="E2773" s="297"/>
      <c r="F2773" s="273"/>
      <c r="G2773" s="273"/>
      <c r="H2773" s="273"/>
    </row>
    <row r="2774" spans="1:8" s="135" customFormat="1" ht="20.25" customHeight="1">
      <c r="A2774" s="273"/>
      <c r="B2774" s="297"/>
      <c r="C2774" s="297"/>
      <c r="D2774" s="297"/>
      <c r="E2774" s="297"/>
      <c r="F2774" s="273"/>
      <c r="G2774" s="273"/>
      <c r="H2774" s="273"/>
    </row>
    <row r="2775" spans="1:8" s="135" customFormat="1" ht="20.25" customHeight="1">
      <c r="A2775" s="273"/>
      <c r="B2775" s="297"/>
      <c r="C2775" s="297"/>
      <c r="D2775" s="297"/>
      <c r="E2775" s="297"/>
      <c r="F2775" s="273"/>
      <c r="G2775" s="273"/>
      <c r="H2775" s="273"/>
    </row>
    <row r="2776" spans="1:8" s="135" customFormat="1" ht="20.25" customHeight="1">
      <c r="A2776" s="273"/>
      <c r="B2776" s="297"/>
      <c r="C2776" s="297"/>
      <c r="D2776" s="297"/>
      <c r="E2776" s="297"/>
      <c r="F2776" s="273"/>
      <c r="G2776" s="273"/>
      <c r="H2776" s="273"/>
    </row>
    <row r="2777" spans="1:8" s="135" customFormat="1" ht="20.25" customHeight="1">
      <c r="A2777" s="273"/>
      <c r="B2777" s="297"/>
      <c r="C2777" s="297"/>
      <c r="D2777" s="297"/>
      <c r="E2777" s="297"/>
      <c r="F2777" s="273"/>
      <c r="G2777" s="273"/>
      <c r="H2777" s="273"/>
    </row>
    <row r="2778" spans="1:8" s="135" customFormat="1" ht="20.25" customHeight="1">
      <c r="A2778" s="273"/>
      <c r="B2778" s="297"/>
      <c r="C2778" s="297"/>
      <c r="D2778" s="297"/>
      <c r="E2778" s="297"/>
      <c r="F2778" s="273"/>
      <c r="G2778" s="273"/>
      <c r="H2778" s="273"/>
    </row>
    <row r="2779" spans="1:8" s="135" customFormat="1" ht="20.25" customHeight="1">
      <c r="A2779" s="273"/>
      <c r="B2779" s="297"/>
      <c r="C2779" s="297"/>
      <c r="D2779" s="297"/>
      <c r="E2779" s="297"/>
      <c r="F2779" s="273"/>
      <c r="G2779" s="273"/>
      <c r="H2779" s="273"/>
    </row>
    <row r="2780" spans="1:8" s="135" customFormat="1" ht="20.25" customHeight="1">
      <c r="A2780" s="273"/>
      <c r="B2780" s="297"/>
      <c r="C2780" s="297"/>
      <c r="D2780" s="297"/>
      <c r="E2780" s="297"/>
      <c r="F2780" s="273"/>
      <c r="G2780" s="273"/>
      <c r="H2780" s="273"/>
    </row>
    <row r="2781" spans="1:8" s="135" customFormat="1" ht="20.25" customHeight="1">
      <c r="A2781" s="273"/>
      <c r="B2781" s="297"/>
      <c r="C2781" s="297"/>
      <c r="D2781" s="297"/>
      <c r="E2781" s="297"/>
      <c r="F2781" s="273"/>
      <c r="G2781" s="273"/>
      <c r="H2781" s="273"/>
    </row>
    <row r="2782" spans="1:8" s="135" customFormat="1" ht="20.25" customHeight="1">
      <c r="A2782" s="273"/>
      <c r="B2782" s="297"/>
      <c r="C2782" s="297"/>
      <c r="D2782" s="297"/>
      <c r="E2782" s="297"/>
      <c r="F2782" s="273"/>
      <c r="G2782" s="273"/>
      <c r="H2782" s="273"/>
    </row>
    <row r="2783" spans="1:9" s="135" customFormat="1" ht="20.25" customHeight="1">
      <c r="A2783" s="273"/>
      <c r="B2783" s="297"/>
      <c r="C2783" s="297"/>
      <c r="D2783" s="297"/>
      <c r="E2783" s="297"/>
      <c r="F2783" s="273"/>
      <c r="G2783" s="273"/>
      <c r="H2783" s="273"/>
      <c r="I2783" s="430">
        <v>43</v>
      </c>
    </row>
    <row r="2784" spans="1:8" s="135" customFormat="1" ht="20.25" customHeight="1">
      <c r="A2784" s="273"/>
      <c r="B2784" s="297"/>
      <c r="C2784" s="297"/>
      <c r="D2784" s="297"/>
      <c r="E2784" s="297"/>
      <c r="F2784" s="273"/>
      <c r="G2784" s="273"/>
      <c r="H2784" s="273"/>
    </row>
    <row r="2785" spans="1:8" s="135" customFormat="1" ht="20.25" customHeight="1">
      <c r="A2785" s="273"/>
      <c r="B2785" s="297"/>
      <c r="C2785" s="297"/>
      <c r="D2785" s="297"/>
      <c r="E2785" s="297"/>
      <c r="F2785" s="273"/>
      <c r="G2785" s="273"/>
      <c r="H2785" s="273"/>
    </row>
    <row r="2786" spans="1:8" s="135" customFormat="1" ht="20.25" customHeight="1">
      <c r="A2786" s="273"/>
      <c r="B2786" s="297"/>
      <c r="C2786" s="297"/>
      <c r="D2786" s="297"/>
      <c r="E2786" s="297"/>
      <c r="F2786" s="273"/>
      <c r="G2786" s="273"/>
      <c r="H2786" s="273"/>
    </row>
    <row r="2787" spans="1:8" s="135" customFormat="1" ht="20.25" customHeight="1">
      <c r="A2787" s="273"/>
      <c r="B2787" s="297"/>
      <c r="C2787" s="297"/>
      <c r="D2787" s="297"/>
      <c r="E2787" s="297"/>
      <c r="F2787" s="273"/>
      <c r="G2787" s="273"/>
      <c r="H2787" s="273"/>
    </row>
    <row r="2788" spans="1:8" s="135" customFormat="1" ht="20.25" customHeight="1">
      <c r="A2788" s="273"/>
      <c r="B2788" s="297"/>
      <c r="C2788" s="297"/>
      <c r="D2788" s="297"/>
      <c r="E2788" s="297"/>
      <c r="F2788" s="273"/>
      <c r="G2788" s="273"/>
      <c r="H2788" s="273"/>
    </row>
    <row r="2789" spans="1:8" s="135" customFormat="1" ht="20.25" customHeight="1">
      <c r="A2789" s="273"/>
      <c r="B2789" s="297"/>
      <c r="C2789" s="297"/>
      <c r="D2789" s="297"/>
      <c r="E2789" s="297"/>
      <c r="F2789" s="273"/>
      <c r="G2789" s="273"/>
      <c r="H2789" s="273"/>
    </row>
    <row r="2790" spans="1:8" s="135" customFormat="1" ht="20.25" customHeight="1">
      <c r="A2790" s="273"/>
      <c r="B2790" s="297"/>
      <c r="C2790" s="297"/>
      <c r="D2790" s="297"/>
      <c r="E2790" s="297"/>
      <c r="F2790" s="273"/>
      <c r="G2790" s="273"/>
      <c r="H2790" s="273"/>
    </row>
    <row r="2791" spans="1:8" s="135" customFormat="1" ht="20.25" customHeight="1">
      <c r="A2791" s="273"/>
      <c r="B2791" s="297"/>
      <c r="C2791" s="297"/>
      <c r="D2791" s="297"/>
      <c r="E2791" s="297"/>
      <c r="F2791" s="273"/>
      <c r="G2791" s="273"/>
      <c r="H2791" s="273"/>
    </row>
    <row r="2792" spans="1:8" s="135" customFormat="1" ht="20.25" customHeight="1">
      <c r="A2792" s="273"/>
      <c r="B2792" s="297"/>
      <c r="C2792" s="297"/>
      <c r="D2792" s="297"/>
      <c r="E2792" s="297"/>
      <c r="F2792" s="273"/>
      <c r="G2792" s="273"/>
      <c r="H2792" s="273"/>
    </row>
    <row r="2793" spans="1:8" s="135" customFormat="1" ht="20.25" customHeight="1">
      <c r="A2793" s="273"/>
      <c r="B2793" s="297"/>
      <c r="C2793" s="297"/>
      <c r="D2793" s="297"/>
      <c r="E2793" s="297"/>
      <c r="F2793" s="273"/>
      <c r="G2793" s="273"/>
      <c r="H2793" s="273"/>
    </row>
    <row r="2794" spans="1:8" s="135" customFormat="1" ht="20.25" customHeight="1">
      <c r="A2794" s="273"/>
      <c r="B2794" s="297"/>
      <c r="C2794" s="297"/>
      <c r="D2794" s="297"/>
      <c r="E2794" s="297"/>
      <c r="F2794" s="273"/>
      <c r="G2794" s="273"/>
      <c r="H2794" s="273"/>
    </row>
    <row r="2795" spans="1:8" s="135" customFormat="1" ht="20.25" customHeight="1">
      <c r="A2795" s="273"/>
      <c r="B2795" s="297"/>
      <c r="C2795" s="297"/>
      <c r="D2795" s="297"/>
      <c r="E2795" s="297"/>
      <c r="F2795" s="273"/>
      <c r="G2795" s="273"/>
      <c r="H2795" s="273"/>
    </row>
    <row r="2796" spans="1:8" s="135" customFormat="1" ht="20.25" customHeight="1">
      <c r="A2796" s="273"/>
      <c r="B2796" s="297"/>
      <c r="C2796" s="297"/>
      <c r="D2796" s="297"/>
      <c r="E2796" s="297"/>
      <c r="F2796" s="273"/>
      <c r="G2796" s="273"/>
      <c r="H2796" s="273"/>
    </row>
    <row r="2797" spans="1:8" s="135" customFormat="1" ht="20.25" customHeight="1">
      <c r="A2797" s="273"/>
      <c r="B2797" s="297"/>
      <c r="C2797" s="297"/>
      <c r="D2797" s="297"/>
      <c r="E2797" s="297"/>
      <c r="F2797" s="273"/>
      <c r="G2797" s="273"/>
      <c r="H2797" s="273"/>
    </row>
    <row r="2798" spans="1:8" s="135" customFormat="1" ht="20.25" customHeight="1">
      <c r="A2798" s="273"/>
      <c r="B2798" s="297"/>
      <c r="C2798" s="297"/>
      <c r="D2798" s="297"/>
      <c r="E2798" s="297"/>
      <c r="F2798" s="273"/>
      <c r="G2798" s="273"/>
      <c r="H2798" s="273"/>
    </row>
    <row r="2799" spans="1:8" s="135" customFormat="1" ht="20.25" customHeight="1">
      <c r="A2799" s="273"/>
      <c r="B2799" s="297"/>
      <c r="C2799" s="297"/>
      <c r="D2799" s="297"/>
      <c r="E2799" s="297"/>
      <c r="F2799" s="273"/>
      <c r="G2799" s="273"/>
      <c r="H2799" s="273"/>
    </row>
    <row r="2800" spans="1:8" s="135" customFormat="1" ht="20.25" customHeight="1">
      <c r="A2800" s="273"/>
      <c r="B2800" s="297"/>
      <c r="C2800" s="297"/>
      <c r="D2800" s="297"/>
      <c r="E2800" s="297"/>
      <c r="F2800" s="273"/>
      <c r="G2800" s="273"/>
      <c r="H2800" s="273"/>
    </row>
    <row r="2801" spans="1:8" s="135" customFormat="1" ht="20.25" customHeight="1">
      <c r="A2801" s="273"/>
      <c r="B2801" s="297"/>
      <c r="C2801" s="297"/>
      <c r="D2801" s="297"/>
      <c r="E2801" s="297"/>
      <c r="F2801" s="273"/>
      <c r="G2801" s="273"/>
      <c r="H2801" s="273"/>
    </row>
    <row r="2802" spans="1:8" s="135" customFormat="1" ht="20.25" customHeight="1">
      <c r="A2802" s="273"/>
      <c r="B2802" s="297"/>
      <c r="C2802" s="297"/>
      <c r="D2802" s="297"/>
      <c r="E2802" s="297"/>
      <c r="F2802" s="273"/>
      <c r="G2802" s="273"/>
      <c r="H2802" s="273"/>
    </row>
    <row r="2803" spans="1:8" s="135" customFormat="1" ht="20.25" customHeight="1">
      <c r="A2803" s="273"/>
      <c r="B2803" s="297"/>
      <c r="C2803" s="297"/>
      <c r="D2803" s="297"/>
      <c r="E2803" s="297"/>
      <c r="F2803" s="273"/>
      <c r="G2803" s="273"/>
      <c r="H2803" s="273"/>
    </row>
    <row r="2804" spans="1:8" s="135" customFormat="1" ht="20.25" customHeight="1">
      <c r="A2804" s="273"/>
      <c r="B2804" s="297"/>
      <c r="C2804" s="297"/>
      <c r="D2804" s="297"/>
      <c r="E2804" s="297"/>
      <c r="F2804" s="273"/>
      <c r="G2804" s="273"/>
      <c r="H2804" s="273"/>
    </row>
    <row r="2805" spans="1:8" s="135" customFormat="1" ht="20.25" customHeight="1">
      <c r="A2805" s="273"/>
      <c r="B2805" s="297"/>
      <c r="C2805" s="297"/>
      <c r="D2805" s="297"/>
      <c r="E2805" s="297"/>
      <c r="F2805" s="273"/>
      <c r="G2805" s="273"/>
      <c r="H2805" s="273"/>
    </row>
    <row r="2806" spans="1:8" s="135" customFormat="1" ht="20.25" customHeight="1">
      <c r="A2806" s="273"/>
      <c r="B2806" s="297"/>
      <c r="C2806" s="297"/>
      <c r="D2806" s="297"/>
      <c r="E2806" s="297"/>
      <c r="F2806" s="273"/>
      <c r="G2806" s="273"/>
      <c r="H2806" s="273"/>
    </row>
    <row r="2807" spans="1:8" s="135" customFormat="1" ht="20.25" customHeight="1">
      <c r="A2807" s="273"/>
      <c r="B2807" s="297"/>
      <c r="C2807" s="297"/>
      <c r="D2807" s="297"/>
      <c r="E2807" s="297"/>
      <c r="F2807" s="273"/>
      <c r="G2807" s="273"/>
      <c r="H2807" s="273"/>
    </row>
    <row r="2808" spans="1:8" s="135" customFormat="1" ht="20.25" customHeight="1">
      <c r="A2808" s="273"/>
      <c r="B2808" s="297"/>
      <c r="C2808" s="297"/>
      <c r="D2808" s="297"/>
      <c r="E2808" s="297"/>
      <c r="F2808" s="273"/>
      <c r="G2808" s="273"/>
      <c r="H2808" s="273"/>
    </row>
    <row r="2809" spans="1:8" s="135" customFormat="1" ht="20.25" customHeight="1">
      <c r="A2809" s="273"/>
      <c r="B2809" s="297"/>
      <c r="C2809" s="297"/>
      <c r="D2809" s="297"/>
      <c r="E2809" s="297"/>
      <c r="F2809" s="273"/>
      <c r="G2809" s="273"/>
      <c r="H2809" s="273"/>
    </row>
    <row r="2810" spans="1:8" s="135" customFormat="1" ht="20.25" customHeight="1">
      <c r="A2810" s="273"/>
      <c r="B2810" s="297"/>
      <c r="C2810" s="297"/>
      <c r="D2810" s="297"/>
      <c r="E2810" s="297"/>
      <c r="F2810" s="273"/>
      <c r="G2810" s="273"/>
      <c r="H2810" s="273"/>
    </row>
    <row r="2811" spans="1:8" s="135" customFormat="1" ht="20.25" customHeight="1">
      <c r="A2811" s="273"/>
      <c r="B2811" s="297"/>
      <c r="C2811" s="297"/>
      <c r="D2811" s="297"/>
      <c r="E2811" s="297"/>
      <c r="F2811" s="273"/>
      <c r="G2811" s="273"/>
      <c r="H2811" s="273"/>
    </row>
    <row r="2812" spans="1:8" s="135" customFormat="1" ht="20.25" customHeight="1">
      <c r="A2812" s="273"/>
      <c r="B2812" s="297"/>
      <c r="C2812" s="297"/>
      <c r="D2812" s="297"/>
      <c r="E2812" s="297"/>
      <c r="F2812" s="273"/>
      <c r="G2812" s="273"/>
      <c r="H2812" s="273"/>
    </row>
    <row r="2813" spans="1:8" s="135" customFormat="1" ht="20.25" customHeight="1">
      <c r="A2813" s="273"/>
      <c r="B2813" s="297"/>
      <c r="C2813" s="297"/>
      <c r="D2813" s="297"/>
      <c r="E2813" s="297"/>
      <c r="F2813" s="273"/>
      <c r="G2813" s="273"/>
      <c r="H2813" s="273"/>
    </row>
    <row r="2814" spans="1:8" s="135" customFormat="1" ht="20.25" customHeight="1">
      <c r="A2814" s="273"/>
      <c r="B2814" s="297"/>
      <c r="C2814" s="297"/>
      <c r="D2814" s="297"/>
      <c r="E2814" s="297"/>
      <c r="F2814" s="273"/>
      <c r="G2814" s="273"/>
      <c r="H2814" s="273"/>
    </row>
    <row r="2815" spans="1:8" s="135" customFormat="1" ht="20.25" customHeight="1">
      <c r="A2815" s="273"/>
      <c r="B2815" s="297"/>
      <c r="C2815" s="297"/>
      <c r="D2815" s="297"/>
      <c r="E2815" s="297"/>
      <c r="F2815" s="273"/>
      <c r="G2815" s="273"/>
      <c r="H2815" s="273"/>
    </row>
    <row r="2816" spans="1:8" s="135" customFormat="1" ht="20.25" customHeight="1">
      <c r="A2816" s="273"/>
      <c r="B2816" s="297"/>
      <c r="C2816" s="297"/>
      <c r="D2816" s="297"/>
      <c r="E2816" s="297"/>
      <c r="F2816" s="273"/>
      <c r="G2816" s="273"/>
      <c r="H2816" s="273"/>
    </row>
    <row r="2817" spans="1:8" s="135" customFormat="1" ht="20.25" customHeight="1">
      <c r="A2817" s="273"/>
      <c r="B2817" s="297"/>
      <c r="C2817" s="297"/>
      <c r="D2817" s="297"/>
      <c r="E2817" s="297"/>
      <c r="F2817" s="273"/>
      <c r="G2817" s="273"/>
      <c r="H2817" s="273"/>
    </row>
    <row r="2818" spans="1:8" s="135" customFormat="1" ht="20.25" customHeight="1">
      <c r="A2818" s="273"/>
      <c r="B2818" s="297"/>
      <c r="C2818" s="297"/>
      <c r="D2818" s="297"/>
      <c r="E2818" s="297"/>
      <c r="F2818" s="273"/>
      <c r="G2818" s="273"/>
      <c r="H2818" s="273"/>
    </row>
    <row r="2819" spans="1:8" s="135" customFormat="1" ht="20.25" customHeight="1">
      <c r="A2819" s="273"/>
      <c r="B2819" s="297"/>
      <c r="C2819" s="297"/>
      <c r="D2819" s="297"/>
      <c r="E2819" s="297"/>
      <c r="F2819" s="273"/>
      <c r="G2819" s="273"/>
      <c r="H2819" s="273"/>
    </row>
    <row r="2820" spans="1:8" s="135" customFormat="1" ht="20.25" customHeight="1">
      <c r="A2820" s="273"/>
      <c r="B2820" s="297"/>
      <c r="C2820" s="297"/>
      <c r="D2820" s="297"/>
      <c r="E2820" s="297"/>
      <c r="F2820" s="273"/>
      <c r="G2820" s="273"/>
      <c r="H2820" s="273"/>
    </row>
    <row r="2821" spans="1:8" s="135" customFormat="1" ht="20.25" customHeight="1">
      <c r="A2821" s="273"/>
      <c r="B2821" s="297"/>
      <c r="C2821" s="297"/>
      <c r="D2821" s="297"/>
      <c r="E2821" s="297"/>
      <c r="F2821" s="273"/>
      <c r="G2821" s="273"/>
      <c r="H2821" s="273"/>
    </row>
    <row r="2822" spans="1:8" s="135" customFormat="1" ht="20.25" customHeight="1">
      <c r="A2822" s="273"/>
      <c r="B2822" s="297"/>
      <c r="C2822" s="297"/>
      <c r="D2822" s="297"/>
      <c r="E2822" s="297"/>
      <c r="F2822" s="273"/>
      <c r="G2822" s="273"/>
      <c r="H2822" s="273"/>
    </row>
    <row r="2823" spans="1:8" s="135" customFormat="1" ht="20.25" customHeight="1">
      <c r="A2823" s="273"/>
      <c r="B2823" s="297"/>
      <c r="C2823" s="297"/>
      <c r="D2823" s="297"/>
      <c r="E2823" s="297"/>
      <c r="F2823" s="273"/>
      <c r="G2823" s="273"/>
      <c r="H2823" s="273"/>
    </row>
    <row r="2824" spans="1:8" s="135" customFormat="1" ht="20.25" customHeight="1">
      <c r="A2824" s="273"/>
      <c r="B2824" s="297"/>
      <c r="C2824" s="297"/>
      <c r="D2824" s="297"/>
      <c r="E2824" s="297"/>
      <c r="F2824" s="273"/>
      <c r="G2824" s="273"/>
      <c r="H2824" s="273"/>
    </row>
    <row r="2825" spans="1:8" s="135" customFormat="1" ht="20.25" customHeight="1">
      <c r="A2825" s="273"/>
      <c r="B2825" s="297"/>
      <c r="C2825" s="297"/>
      <c r="D2825" s="297"/>
      <c r="E2825" s="297"/>
      <c r="F2825" s="273"/>
      <c r="G2825" s="273"/>
      <c r="H2825" s="273"/>
    </row>
    <row r="2826" spans="1:8" s="135" customFormat="1" ht="20.25" customHeight="1">
      <c r="A2826" s="273"/>
      <c r="B2826" s="297"/>
      <c r="C2826" s="297"/>
      <c r="D2826" s="297"/>
      <c r="E2826" s="297"/>
      <c r="F2826" s="273"/>
      <c r="G2826" s="273"/>
      <c r="H2826" s="273"/>
    </row>
    <row r="2827" spans="1:8" s="135" customFormat="1" ht="20.25" customHeight="1">
      <c r="A2827" s="273"/>
      <c r="B2827" s="297"/>
      <c r="C2827" s="297"/>
      <c r="D2827" s="297"/>
      <c r="E2827" s="297"/>
      <c r="F2827" s="273"/>
      <c r="G2827" s="273"/>
      <c r="H2827" s="273"/>
    </row>
    <row r="2828" spans="1:8" s="135" customFormat="1" ht="20.25" customHeight="1">
      <c r="A2828" s="273"/>
      <c r="B2828" s="297"/>
      <c r="C2828" s="297"/>
      <c r="D2828" s="297"/>
      <c r="E2828" s="297"/>
      <c r="F2828" s="273"/>
      <c r="G2828" s="273"/>
      <c r="H2828" s="273"/>
    </row>
    <row r="2829" spans="1:8" s="135" customFormat="1" ht="20.25" customHeight="1">
      <c r="A2829" s="273"/>
      <c r="B2829" s="297"/>
      <c r="C2829" s="297"/>
      <c r="D2829" s="297"/>
      <c r="E2829" s="297"/>
      <c r="F2829" s="273"/>
      <c r="G2829" s="273"/>
      <c r="H2829" s="273"/>
    </row>
    <row r="2830" spans="1:8" s="135" customFormat="1" ht="20.25" customHeight="1">
      <c r="A2830" s="273"/>
      <c r="B2830" s="297"/>
      <c r="C2830" s="297"/>
      <c r="D2830" s="297"/>
      <c r="E2830" s="297"/>
      <c r="F2830" s="273"/>
      <c r="G2830" s="273"/>
      <c r="H2830" s="273"/>
    </row>
    <row r="2831" spans="1:8" s="135" customFormat="1" ht="20.25" customHeight="1">
      <c r="A2831" s="273"/>
      <c r="B2831" s="297"/>
      <c r="C2831" s="297"/>
      <c r="D2831" s="297"/>
      <c r="E2831" s="297"/>
      <c r="F2831" s="273"/>
      <c r="G2831" s="273"/>
      <c r="H2831" s="273"/>
    </row>
    <row r="2832" spans="1:8" s="135" customFormat="1" ht="20.25" customHeight="1">
      <c r="A2832" s="273"/>
      <c r="B2832" s="297"/>
      <c r="C2832" s="297"/>
      <c r="D2832" s="297"/>
      <c r="E2832" s="297"/>
      <c r="F2832" s="273"/>
      <c r="G2832" s="273"/>
      <c r="H2832" s="273"/>
    </row>
    <row r="2833" spans="1:8" s="135" customFormat="1" ht="20.25" customHeight="1">
      <c r="A2833" s="273"/>
      <c r="B2833" s="297"/>
      <c r="C2833" s="297"/>
      <c r="D2833" s="297"/>
      <c r="E2833" s="297"/>
      <c r="F2833" s="273"/>
      <c r="G2833" s="273"/>
      <c r="H2833" s="273"/>
    </row>
    <row r="2834" spans="1:8" s="135" customFormat="1" ht="20.25" customHeight="1">
      <c r="A2834" s="273"/>
      <c r="B2834" s="297"/>
      <c r="C2834" s="297"/>
      <c r="D2834" s="297"/>
      <c r="E2834" s="297"/>
      <c r="F2834" s="273"/>
      <c r="G2834" s="273"/>
      <c r="H2834" s="273"/>
    </row>
    <row r="2835" spans="1:8" s="135" customFormat="1" ht="20.25" customHeight="1">
      <c r="A2835" s="273"/>
      <c r="B2835" s="297"/>
      <c r="C2835" s="297"/>
      <c r="D2835" s="297"/>
      <c r="E2835" s="297"/>
      <c r="F2835" s="273"/>
      <c r="G2835" s="273"/>
      <c r="H2835" s="273"/>
    </row>
    <row r="2836" spans="1:8" s="135" customFormat="1" ht="20.25" customHeight="1">
      <c r="A2836" s="273"/>
      <c r="B2836" s="297"/>
      <c r="C2836" s="297"/>
      <c r="D2836" s="297"/>
      <c r="E2836" s="297"/>
      <c r="F2836" s="273"/>
      <c r="G2836" s="273"/>
      <c r="H2836" s="273"/>
    </row>
    <row r="2837" spans="1:8" s="135" customFormat="1" ht="20.25" customHeight="1">
      <c r="A2837" s="273"/>
      <c r="B2837" s="297"/>
      <c r="C2837" s="297"/>
      <c r="D2837" s="297"/>
      <c r="E2837" s="297"/>
      <c r="F2837" s="273"/>
      <c r="G2837" s="273"/>
      <c r="H2837" s="273"/>
    </row>
    <row r="2838" spans="1:8" s="135" customFormat="1" ht="20.25" customHeight="1">
      <c r="A2838" s="273"/>
      <c r="B2838" s="297"/>
      <c r="C2838" s="297"/>
      <c r="D2838" s="297"/>
      <c r="E2838" s="297"/>
      <c r="F2838" s="273"/>
      <c r="G2838" s="273"/>
      <c r="H2838" s="273"/>
    </row>
    <row r="2839" spans="1:8" s="135" customFormat="1" ht="20.25" customHeight="1">
      <c r="A2839" s="273"/>
      <c r="B2839" s="297"/>
      <c r="C2839" s="297"/>
      <c r="D2839" s="297"/>
      <c r="E2839" s="297"/>
      <c r="F2839" s="273"/>
      <c r="G2839" s="273"/>
      <c r="H2839" s="273"/>
    </row>
    <row r="2840" spans="1:8" s="135" customFormat="1" ht="20.25" customHeight="1">
      <c r="A2840" s="273"/>
      <c r="B2840" s="297"/>
      <c r="C2840" s="297"/>
      <c r="D2840" s="297"/>
      <c r="E2840" s="297"/>
      <c r="F2840" s="273"/>
      <c r="G2840" s="273"/>
      <c r="H2840" s="273"/>
    </row>
    <row r="2841" spans="1:8" s="135" customFormat="1" ht="20.25" customHeight="1">
      <c r="A2841" s="273"/>
      <c r="B2841" s="297"/>
      <c r="C2841" s="297"/>
      <c r="D2841" s="297"/>
      <c r="E2841" s="297"/>
      <c r="F2841" s="273"/>
      <c r="G2841" s="273"/>
      <c r="H2841" s="273"/>
    </row>
    <row r="2842" spans="1:8" s="135" customFormat="1" ht="20.25" customHeight="1">
      <c r="A2842" s="273"/>
      <c r="B2842" s="297"/>
      <c r="C2842" s="297"/>
      <c r="D2842" s="297"/>
      <c r="E2842" s="297"/>
      <c r="F2842" s="273"/>
      <c r="G2842" s="273"/>
      <c r="H2842" s="273"/>
    </row>
    <row r="2843" spans="1:8" s="135" customFormat="1" ht="20.25" customHeight="1">
      <c r="A2843" s="273"/>
      <c r="B2843" s="297"/>
      <c r="C2843" s="297"/>
      <c r="D2843" s="297"/>
      <c r="E2843" s="297"/>
      <c r="F2843" s="273"/>
      <c r="G2843" s="273"/>
      <c r="H2843" s="273"/>
    </row>
    <row r="2844" spans="1:8" s="135" customFormat="1" ht="20.25" customHeight="1">
      <c r="A2844" s="273"/>
      <c r="B2844" s="297"/>
      <c r="C2844" s="297"/>
      <c r="D2844" s="297"/>
      <c r="E2844" s="297"/>
      <c r="F2844" s="273"/>
      <c r="G2844" s="273"/>
      <c r="H2844" s="273"/>
    </row>
    <row r="2845" spans="1:8" s="135" customFormat="1" ht="20.25" customHeight="1">
      <c r="A2845" s="273"/>
      <c r="B2845" s="297"/>
      <c r="C2845" s="297"/>
      <c r="D2845" s="297"/>
      <c r="E2845" s="297"/>
      <c r="F2845" s="273"/>
      <c r="G2845" s="273"/>
      <c r="H2845" s="273"/>
    </row>
    <row r="2846" spans="1:8" s="135" customFormat="1" ht="20.25" customHeight="1">
      <c r="A2846" s="273"/>
      <c r="B2846" s="297"/>
      <c r="C2846" s="297"/>
      <c r="D2846" s="297"/>
      <c r="E2846" s="297"/>
      <c r="F2846" s="273"/>
      <c r="G2846" s="273"/>
      <c r="H2846" s="273"/>
    </row>
    <row r="2847" spans="1:8" s="135" customFormat="1" ht="20.25" customHeight="1">
      <c r="A2847" s="273"/>
      <c r="B2847" s="297"/>
      <c r="C2847" s="297"/>
      <c r="D2847" s="297"/>
      <c r="E2847" s="297"/>
      <c r="F2847" s="273"/>
      <c r="G2847" s="273"/>
      <c r="H2847" s="273"/>
    </row>
    <row r="2848" spans="1:8" s="135" customFormat="1" ht="20.25" customHeight="1">
      <c r="A2848" s="273"/>
      <c r="B2848" s="297"/>
      <c r="C2848" s="297"/>
      <c r="D2848" s="297"/>
      <c r="E2848" s="297"/>
      <c r="F2848" s="273"/>
      <c r="G2848" s="273"/>
      <c r="H2848" s="273"/>
    </row>
    <row r="2849" spans="1:8" s="135" customFormat="1" ht="20.25" customHeight="1">
      <c r="A2849" s="273"/>
      <c r="B2849" s="297"/>
      <c r="C2849" s="297"/>
      <c r="D2849" s="297"/>
      <c r="E2849" s="297"/>
      <c r="F2849" s="273"/>
      <c r="G2849" s="273"/>
      <c r="H2849" s="273"/>
    </row>
    <row r="2850" spans="1:8" s="135" customFormat="1" ht="20.25" customHeight="1">
      <c r="A2850" s="273"/>
      <c r="B2850" s="297"/>
      <c r="C2850" s="297"/>
      <c r="D2850" s="297"/>
      <c r="E2850" s="297"/>
      <c r="F2850" s="273"/>
      <c r="G2850" s="273"/>
      <c r="H2850" s="273"/>
    </row>
    <row r="2851" spans="1:8" s="135" customFormat="1" ht="20.25" customHeight="1">
      <c r="A2851" s="273"/>
      <c r="B2851" s="297"/>
      <c r="C2851" s="297"/>
      <c r="D2851" s="297"/>
      <c r="E2851" s="297"/>
      <c r="F2851" s="273"/>
      <c r="G2851" s="273"/>
      <c r="H2851" s="273"/>
    </row>
    <row r="2852" spans="1:8" s="135" customFormat="1" ht="20.25" customHeight="1">
      <c r="A2852" s="273"/>
      <c r="B2852" s="297"/>
      <c r="C2852" s="297"/>
      <c r="D2852" s="297"/>
      <c r="E2852" s="297"/>
      <c r="F2852" s="273"/>
      <c r="G2852" s="273"/>
      <c r="H2852" s="273"/>
    </row>
    <row r="2853" spans="1:8" s="135" customFormat="1" ht="20.25" customHeight="1">
      <c r="A2853" s="273"/>
      <c r="B2853" s="297"/>
      <c r="C2853" s="297"/>
      <c r="D2853" s="297"/>
      <c r="E2853" s="297"/>
      <c r="F2853" s="273"/>
      <c r="G2853" s="273"/>
      <c r="H2853" s="273"/>
    </row>
    <row r="2854" spans="1:8" s="135" customFormat="1" ht="20.25" customHeight="1">
      <c r="A2854" s="273"/>
      <c r="B2854" s="297"/>
      <c r="C2854" s="297"/>
      <c r="D2854" s="297"/>
      <c r="E2854" s="297"/>
      <c r="F2854" s="273"/>
      <c r="G2854" s="273"/>
      <c r="H2854" s="273"/>
    </row>
    <row r="2855" spans="1:8" s="135" customFormat="1" ht="20.25" customHeight="1">
      <c r="A2855" s="273"/>
      <c r="B2855" s="297"/>
      <c r="C2855" s="297"/>
      <c r="D2855" s="297"/>
      <c r="E2855" s="297"/>
      <c r="F2855" s="273"/>
      <c r="G2855" s="273"/>
      <c r="H2855" s="273"/>
    </row>
    <row r="2856" spans="1:8" s="135" customFormat="1" ht="20.25" customHeight="1">
      <c r="A2856" s="273"/>
      <c r="B2856" s="297"/>
      <c r="C2856" s="297"/>
      <c r="D2856" s="297"/>
      <c r="E2856" s="297"/>
      <c r="F2856" s="273"/>
      <c r="G2856" s="273"/>
      <c r="H2856" s="273"/>
    </row>
    <row r="2857" spans="1:8" s="135" customFormat="1" ht="20.25" customHeight="1">
      <c r="A2857" s="273"/>
      <c r="B2857" s="297"/>
      <c r="C2857" s="297"/>
      <c r="D2857" s="297"/>
      <c r="E2857" s="297"/>
      <c r="F2857" s="273"/>
      <c r="G2857" s="273"/>
      <c r="H2857" s="273"/>
    </row>
    <row r="2858" spans="1:8" s="135" customFormat="1" ht="20.25" customHeight="1">
      <c r="A2858" s="273"/>
      <c r="B2858" s="297"/>
      <c r="C2858" s="297"/>
      <c r="D2858" s="297"/>
      <c r="E2858" s="297"/>
      <c r="F2858" s="273"/>
      <c r="G2858" s="273"/>
      <c r="H2858" s="273"/>
    </row>
    <row r="2859" spans="1:8" s="135" customFormat="1" ht="20.25" customHeight="1">
      <c r="A2859" s="273"/>
      <c r="B2859" s="297"/>
      <c r="C2859" s="297"/>
      <c r="D2859" s="297"/>
      <c r="E2859" s="297"/>
      <c r="F2859" s="273"/>
      <c r="G2859" s="273"/>
      <c r="H2859" s="273"/>
    </row>
    <row r="2860" spans="1:8" s="135" customFormat="1" ht="20.25" customHeight="1">
      <c r="A2860" s="273"/>
      <c r="B2860" s="297"/>
      <c r="C2860" s="297"/>
      <c r="D2860" s="297"/>
      <c r="E2860" s="297"/>
      <c r="F2860" s="273"/>
      <c r="G2860" s="273"/>
      <c r="H2860" s="273"/>
    </row>
    <row r="2861" spans="1:8" s="135" customFormat="1" ht="20.25" customHeight="1">
      <c r="A2861" s="273"/>
      <c r="B2861" s="297"/>
      <c r="C2861" s="297"/>
      <c r="D2861" s="297"/>
      <c r="E2861" s="297"/>
      <c r="F2861" s="273"/>
      <c r="G2861" s="273"/>
      <c r="H2861" s="273"/>
    </row>
    <row r="2862" spans="1:8" s="135" customFormat="1" ht="20.25" customHeight="1">
      <c r="A2862" s="273"/>
      <c r="B2862" s="297"/>
      <c r="C2862" s="297"/>
      <c r="D2862" s="297"/>
      <c r="E2862" s="297"/>
      <c r="F2862" s="273"/>
      <c r="G2862" s="273"/>
      <c r="H2862" s="273"/>
    </row>
    <row r="2863" spans="1:8" s="135" customFormat="1" ht="20.25" customHeight="1">
      <c r="A2863" s="273"/>
      <c r="B2863" s="297"/>
      <c r="C2863" s="297"/>
      <c r="D2863" s="297"/>
      <c r="E2863" s="297"/>
      <c r="F2863" s="273"/>
      <c r="G2863" s="273"/>
      <c r="H2863" s="273"/>
    </row>
    <row r="2864" spans="1:8" s="135" customFormat="1" ht="20.25" customHeight="1">
      <c r="A2864" s="273"/>
      <c r="B2864" s="297"/>
      <c r="C2864" s="297"/>
      <c r="D2864" s="297"/>
      <c r="E2864" s="297"/>
      <c r="F2864" s="273"/>
      <c r="G2864" s="273"/>
      <c r="H2864" s="273"/>
    </row>
    <row r="2865" spans="1:8" s="135" customFormat="1" ht="20.25" customHeight="1">
      <c r="A2865" s="273"/>
      <c r="B2865" s="297"/>
      <c r="C2865" s="297"/>
      <c r="D2865" s="297"/>
      <c r="E2865" s="297"/>
      <c r="F2865" s="273"/>
      <c r="G2865" s="273"/>
      <c r="H2865" s="273"/>
    </row>
    <row r="2866" spans="1:8" s="135" customFormat="1" ht="20.25" customHeight="1">
      <c r="A2866" s="273"/>
      <c r="B2866" s="297"/>
      <c r="C2866" s="297"/>
      <c r="D2866" s="297"/>
      <c r="E2866" s="297"/>
      <c r="F2866" s="273"/>
      <c r="G2866" s="273"/>
      <c r="H2866" s="273"/>
    </row>
    <row r="2867" spans="1:8" s="135" customFormat="1" ht="20.25" customHeight="1">
      <c r="A2867" s="273"/>
      <c r="B2867" s="297"/>
      <c r="C2867" s="297"/>
      <c r="D2867" s="297"/>
      <c r="E2867" s="297"/>
      <c r="F2867" s="273"/>
      <c r="G2867" s="273"/>
      <c r="H2867" s="273"/>
    </row>
    <row r="2868" spans="1:8" s="135" customFormat="1" ht="20.25" customHeight="1">
      <c r="A2868" s="273"/>
      <c r="B2868" s="297"/>
      <c r="C2868" s="297"/>
      <c r="D2868" s="297"/>
      <c r="E2868" s="297"/>
      <c r="F2868" s="273"/>
      <c r="G2868" s="273"/>
      <c r="H2868" s="273"/>
    </row>
    <row r="2869" spans="1:8" s="135" customFormat="1" ht="20.25" customHeight="1">
      <c r="A2869" s="273"/>
      <c r="B2869" s="297"/>
      <c r="C2869" s="297"/>
      <c r="D2869" s="297"/>
      <c r="E2869" s="297"/>
      <c r="F2869" s="273"/>
      <c r="G2869" s="273"/>
      <c r="H2869" s="273"/>
    </row>
    <row r="2870" spans="1:8" s="135" customFormat="1" ht="20.25" customHeight="1">
      <c r="A2870" s="273"/>
      <c r="B2870" s="297"/>
      <c r="C2870" s="297"/>
      <c r="D2870" s="297"/>
      <c r="E2870" s="297"/>
      <c r="F2870" s="273"/>
      <c r="G2870" s="273"/>
      <c r="H2870" s="273"/>
    </row>
    <row r="2871" spans="1:8" s="135" customFormat="1" ht="20.25" customHeight="1">
      <c r="A2871" s="273"/>
      <c r="B2871" s="297"/>
      <c r="C2871" s="297"/>
      <c r="D2871" s="297"/>
      <c r="E2871" s="297"/>
      <c r="F2871" s="273"/>
      <c r="G2871" s="273"/>
      <c r="H2871" s="273"/>
    </row>
    <row r="2872" spans="1:8" s="135" customFormat="1" ht="20.25" customHeight="1">
      <c r="A2872" s="273"/>
      <c r="B2872" s="297"/>
      <c r="C2872" s="297"/>
      <c r="D2872" s="297"/>
      <c r="E2872" s="297"/>
      <c r="F2872" s="273"/>
      <c r="G2872" s="273"/>
      <c r="H2872" s="273"/>
    </row>
    <row r="2873" spans="1:8" s="135" customFormat="1" ht="20.25" customHeight="1">
      <c r="A2873" s="273"/>
      <c r="B2873" s="297"/>
      <c r="C2873" s="297"/>
      <c r="D2873" s="297"/>
      <c r="E2873" s="297"/>
      <c r="F2873" s="273"/>
      <c r="G2873" s="273"/>
      <c r="H2873" s="273"/>
    </row>
    <row r="2874" spans="1:8" s="135" customFormat="1" ht="20.25" customHeight="1">
      <c r="A2874" s="273"/>
      <c r="B2874" s="297"/>
      <c r="C2874" s="297"/>
      <c r="D2874" s="297"/>
      <c r="E2874" s="297"/>
      <c r="F2874" s="273"/>
      <c r="G2874" s="273"/>
      <c r="H2874" s="273"/>
    </row>
    <row r="2875" spans="1:8" s="135" customFormat="1" ht="20.25" customHeight="1">
      <c r="A2875" s="273"/>
      <c r="B2875" s="297"/>
      <c r="C2875" s="297"/>
      <c r="D2875" s="297"/>
      <c r="E2875" s="297"/>
      <c r="F2875" s="273"/>
      <c r="G2875" s="273"/>
      <c r="H2875" s="273"/>
    </row>
    <row r="2876" spans="1:8" s="135" customFormat="1" ht="20.25" customHeight="1">
      <c r="A2876" s="273"/>
      <c r="B2876" s="297"/>
      <c r="C2876" s="297"/>
      <c r="D2876" s="297"/>
      <c r="E2876" s="297"/>
      <c r="F2876" s="273"/>
      <c r="G2876" s="273"/>
      <c r="H2876" s="273"/>
    </row>
    <row r="2877" spans="1:8" s="135" customFormat="1" ht="20.25" customHeight="1">
      <c r="A2877" s="273"/>
      <c r="B2877" s="297"/>
      <c r="C2877" s="297"/>
      <c r="D2877" s="297"/>
      <c r="E2877" s="297"/>
      <c r="F2877" s="273"/>
      <c r="G2877" s="273"/>
      <c r="H2877" s="273"/>
    </row>
    <row r="2878" spans="1:8" s="135" customFormat="1" ht="20.25" customHeight="1">
      <c r="A2878" s="273"/>
      <c r="B2878" s="297"/>
      <c r="C2878" s="297"/>
      <c r="D2878" s="297"/>
      <c r="E2878" s="297"/>
      <c r="F2878" s="273"/>
      <c r="G2878" s="273"/>
      <c r="H2878" s="273"/>
    </row>
    <row r="2879" spans="1:8" s="135" customFormat="1" ht="20.25" customHeight="1">
      <c r="A2879" s="273"/>
      <c r="B2879" s="297"/>
      <c r="C2879" s="297"/>
      <c r="D2879" s="297"/>
      <c r="E2879" s="297"/>
      <c r="F2879" s="273"/>
      <c r="G2879" s="273"/>
      <c r="H2879" s="273"/>
    </row>
    <row r="2880" spans="1:8" s="135" customFormat="1" ht="20.25" customHeight="1">
      <c r="A2880" s="273"/>
      <c r="B2880" s="297"/>
      <c r="C2880" s="297"/>
      <c r="D2880" s="297"/>
      <c r="E2880" s="297"/>
      <c r="F2880" s="273"/>
      <c r="G2880" s="273"/>
      <c r="H2880" s="273"/>
    </row>
    <row r="2881" spans="1:8" s="135" customFormat="1" ht="20.25" customHeight="1">
      <c r="A2881" s="273"/>
      <c r="B2881" s="297"/>
      <c r="C2881" s="297"/>
      <c r="D2881" s="297"/>
      <c r="E2881" s="297"/>
      <c r="F2881" s="273"/>
      <c r="G2881" s="273"/>
      <c r="H2881" s="273"/>
    </row>
    <row r="2882" spans="1:8" s="135" customFormat="1" ht="20.25" customHeight="1">
      <c r="A2882" s="273"/>
      <c r="B2882" s="297"/>
      <c r="C2882" s="297"/>
      <c r="D2882" s="297"/>
      <c r="E2882" s="297"/>
      <c r="F2882" s="273"/>
      <c r="G2882" s="273"/>
      <c r="H2882" s="273"/>
    </row>
    <row r="2883" spans="1:8" s="135" customFormat="1" ht="20.25" customHeight="1">
      <c r="A2883" s="273"/>
      <c r="B2883" s="297"/>
      <c r="C2883" s="297"/>
      <c r="D2883" s="297"/>
      <c r="E2883" s="297"/>
      <c r="F2883" s="273"/>
      <c r="G2883" s="273"/>
      <c r="H2883" s="273"/>
    </row>
    <row r="2884" spans="1:8" s="135" customFormat="1" ht="20.25" customHeight="1">
      <c r="A2884" s="273"/>
      <c r="B2884" s="297"/>
      <c r="C2884" s="297"/>
      <c r="D2884" s="297"/>
      <c r="E2884" s="297"/>
      <c r="F2884" s="273"/>
      <c r="G2884" s="273"/>
      <c r="H2884" s="273"/>
    </row>
    <row r="2885" spans="1:8" s="135" customFormat="1" ht="20.25" customHeight="1">
      <c r="A2885" s="273"/>
      <c r="B2885" s="297"/>
      <c r="C2885" s="297"/>
      <c r="D2885" s="297"/>
      <c r="E2885" s="297"/>
      <c r="F2885" s="273"/>
      <c r="G2885" s="273"/>
      <c r="H2885" s="273"/>
    </row>
    <row r="2886" spans="1:8" s="135" customFormat="1" ht="20.25" customHeight="1">
      <c r="A2886" s="273"/>
      <c r="B2886" s="297"/>
      <c r="C2886" s="297"/>
      <c r="D2886" s="297"/>
      <c r="E2886" s="297"/>
      <c r="F2886" s="273"/>
      <c r="G2886" s="273"/>
      <c r="H2886" s="273"/>
    </row>
    <row r="2887" spans="1:8" s="135" customFormat="1" ht="20.25" customHeight="1">
      <c r="A2887" s="273"/>
      <c r="B2887" s="297"/>
      <c r="C2887" s="297"/>
      <c r="D2887" s="297"/>
      <c r="E2887" s="297"/>
      <c r="F2887" s="273"/>
      <c r="G2887" s="273"/>
      <c r="H2887" s="273"/>
    </row>
    <row r="2888" spans="1:8" s="135" customFormat="1" ht="20.25" customHeight="1">
      <c r="A2888" s="273"/>
      <c r="B2888" s="297"/>
      <c r="C2888" s="297"/>
      <c r="D2888" s="297"/>
      <c r="E2888" s="297"/>
      <c r="F2888" s="273"/>
      <c r="G2888" s="273"/>
      <c r="H2888" s="273"/>
    </row>
    <row r="2889" spans="1:8" s="135" customFormat="1" ht="20.25" customHeight="1">
      <c r="A2889" s="273"/>
      <c r="B2889" s="297"/>
      <c r="C2889" s="297"/>
      <c r="D2889" s="297"/>
      <c r="E2889" s="297"/>
      <c r="F2889" s="273"/>
      <c r="G2889" s="273"/>
      <c r="H2889" s="273"/>
    </row>
    <row r="2890" spans="1:8" s="135" customFormat="1" ht="20.25" customHeight="1">
      <c r="A2890" s="273"/>
      <c r="B2890" s="297"/>
      <c r="C2890" s="297"/>
      <c r="D2890" s="297"/>
      <c r="E2890" s="297"/>
      <c r="F2890" s="273"/>
      <c r="G2890" s="273"/>
      <c r="H2890" s="273"/>
    </row>
    <row r="2891" spans="1:8" s="135" customFormat="1" ht="20.25" customHeight="1">
      <c r="A2891" s="273"/>
      <c r="B2891" s="297"/>
      <c r="C2891" s="297"/>
      <c r="D2891" s="297"/>
      <c r="E2891" s="297"/>
      <c r="F2891" s="273"/>
      <c r="G2891" s="273"/>
      <c r="H2891" s="273"/>
    </row>
    <row r="2892" spans="1:8" s="135" customFormat="1" ht="20.25" customHeight="1">
      <c r="A2892" s="273"/>
      <c r="B2892" s="297"/>
      <c r="C2892" s="297"/>
      <c r="D2892" s="297"/>
      <c r="E2892" s="297"/>
      <c r="F2892" s="273"/>
      <c r="G2892" s="273"/>
      <c r="H2892" s="273"/>
    </row>
    <row r="2893" spans="1:8" s="135" customFormat="1" ht="20.25" customHeight="1">
      <c r="A2893" s="273"/>
      <c r="B2893" s="297"/>
      <c r="C2893" s="297"/>
      <c r="D2893" s="297"/>
      <c r="E2893" s="297"/>
      <c r="F2893" s="273"/>
      <c r="G2893" s="273"/>
      <c r="H2893" s="273"/>
    </row>
    <row r="2894" spans="1:8" s="135" customFormat="1" ht="20.25" customHeight="1">
      <c r="A2894" s="273"/>
      <c r="B2894" s="297"/>
      <c r="C2894" s="297"/>
      <c r="D2894" s="297"/>
      <c r="E2894" s="297"/>
      <c r="F2894" s="273"/>
      <c r="G2894" s="273"/>
      <c r="H2894" s="273"/>
    </row>
    <row r="2895" spans="1:8" s="135" customFormat="1" ht="20.25" customHeight="1">
      <c r="A2895" s="273"/>
      <c r="B2895" s="297"/>
      <c r="C2895" s="297"/>
      <c r="D2895" s="297"/>
      <c r="E2895" s="297"/>
      <c r="F2895" s="273"/>
      <c r="G2895" s="273"/>
      <c r="H2895" s="273"/>
    </row>
    <row r="2896" spans="1:8" s="135" customFormat="1" ht="20.25" customHeight="1">
      <c r="A2896" s="273"/>
      <c r="B2896" s="297"/>
      <c r="C2896" s="297"/>
      <c r="D2896" s="297"/>
      <c r="E2896" s="297"/>
      <c r="F2896" s="273"/>
      <c r="G2896" s="273"/>
      <c r="H2896" s="273"/>
    </row>
    <row r="2897" spans="1:8" s="135" customFormat="1" ht="20.25" customHeight="1">
      <c r="A2897" s="273"/>
      <c r="B2897" s="297"/>
      <c r="C2897" s="297"/>
      <c r="D2897" s="297"/>
      <c r="E2897" s="297"/>
      <c r="F2897" s="273"/>
      <c r="G2897" s="273"/>
      <c r="H2897" s="273"/>
    </row>
    <row r="2898" spans="1:8" s="135" customFormat="1" ht="20.25" customHeight="1">
      <c r="A2898" s="273"/>
      <c r="B2898" s="297"/>
      <c r="C2898" s="297"/>
      <c r="D2898" s="297"/>
      <c r="E2898" s="297"/>
      <c r="F2898" s="273"/>
      <c r="G2898" s="273"/>
      <c r="H2898" s="273"/>
    </row>
    <row r="2899" spans="1:8" s="135" customFormat="1" ht="20.25" customHeight="1">
      <c r="A2899" s="273"/>
      <c r="B2899" s="297"/>
      <c r="C2899" s="297"/>
      <c r="D2899" s="297"/>
      <c r="E2899" s="297"/>
      <c r="F2899" s="273"/>
      <c r="G2899" s="273"/>
      <c r="H2899" s="273"/>
    </row>
    <row r="2900" spans="1:8" s="135" customFormat="1" ht="20.25" customHeight="1">
      <c r="A2900" s="273"/>
      <c r="B2900" s="297"/>
      <c r="C2900" s="297"/>
      <c r="D2900" s="297"/>
      <c r="E2900" s="297"/>
      <c r="F2900" s="273"/>
      <c r="G2900" s="273"/>
      <c r="H2900" s="273"/>
    </row>
    <row r="2901" spans="1:8" s="135" customFormat="1" ht="20.25" customHeight="1">
      <c r="A2901" s="273"/>
      <c r="B2901" s="297"/>
      <c r="C2901" s="297"/>
      <c r="D2901" s="297"/>
      <c r="E2901" s="297"/>
      <c r="F2901" s="273"/>
      <c r="G2901" s="273"/>
      <c r="H2901" s="273"/>
    </row>
    <row r="2902" spans="1:8" s="135" customFormat="1" ht="20.25" customHeight="1">
      <c r="A2902" s="273"/>
      <c r="B2902" s="297"/>
      <c r="C2902" s="297"/>
      <c r="D2902" s="297"/>
      <c r="E2902" s="297"/>
      <c r="F2902" s="273"/>
      <c r="G2902" s="273"/>
      <c r="H2902" s="273"/>
    </row>
    <row r="2903" spans="1:8" s="135" customFormat="1" ht="20.25" customHeight="1">
      <c r="A2903" s="273"/>
      <c r="B2903" s="297"/>
      <c r="C2903" s="297"/>
      <c r="D2903" s="297"/>
      <c r="E2903" s="297"/>
      <c r="F2903" s="273"/>
      <c r="G2903" s="273"/>
      <c r="H2903" s="273"/>
    </row>
    <row r="2904" spans="1:8" s="135" customFormat="1" ht="20.25" customHeight="1">
      <c r="A2904" s="273"/>
      <c r="B2904" s="297"/>
      <c r="C2904" s="297"/>
      <c r="D2904" s="297"/>
      <c r="E2904" s="297"/>
      <c r="F2904" s="273"/>
      <c r="G2904" s="273"/>
      <c r="H2904" s="273"/>
    </row>
    <row r="2905" spans="1:8" s="135" customFormat="1" ht="20.25" customHeight="1">
      <c r="A2905" s="273"/>
      <c r="B2905" s="297"/>
      <c r="C2905" s="297"/>
      <c r="D2905" s="297"/>
      <c r="E2905" s="297"/>
      <c r="F2905" s="273"/>
      <c r="G2905" s="273"/>
      <c r="H2905" s="273"/>
    </row>
    <row r="2906" spans="1:8" s="135" customFormat="1" ht="20.25" customHeight="1">
      <c r="A2906" s="273"/>
      <c r="B2906" s="297"/>
      <c r="C2906" s="297"/>
      <c r="D2906" s="297"/>
      <c r="E2906" s="297"/>
      <c r="F2906" s="273"/>
      <c r="G2906" s="273"/>
      <c r="H2906" s="273"/>
    </row>
    <row r="2907" spans="1:8" s="135" customFormat="1" ht="20.25" customHeight="1">
      <c r="A2907" s="273"/>
      <c r="B2907" s="297"/>
      <c r="C2907" s="297"/>
      <c r="D2907" s="297"/>
      <c r="E2907" s="297"/>
      <c r="F2907" s="273"/>
      <c r="G2907" s="273"/>
      <c r="H2907" s="273"/>
    </row>
    <row r="2908" spans="1:8" s="135" customFormat="1" ht="20.25" customHeight="1">
      <c r="A2908" s="273"/>
      <c r="B2908" s="297"/>
      <c r="C2908" s="297"/>
      <c r="D2908" s="297"/>
      <c r="E2908" s="297"/>
      <c r="F2908" s="273"/>
      <c r="G2908" s="273"/>
      <c r="H2908" s="273"/>
    </row>
    <row r="2909" spans="1:8" s="135" customFormat="1" ht="20.25" customHeight="1">
      <c r="A2909" s="273"/>
      <c r="B2909" s="297"/>
      <c r="C2909" s="297"/>
      <c r="D2909" s="297"/>
      <c r="E2909" s="297"/>
      <c r="F2909" s="273"/>
      <c r="G2909" s="273"/>
      <c r="H2909" s="273"/>
    </row>
    <row r="2910" spans="1:8" s="135" customFormat="1" ht="20.25" customHeight="1">
      <c r="A2910" s="273"/>
      <c r="B2910" s="297"/>
      <c r="C2910" s="297"/>
      <c r="D2910" s="297"/>
      <c r="E2910" s="297"/>
      <c r="F2910" s="273"/>
      <c r="G2910" s="273"/>
      <c r="H2910" s="273"/>
    </row>
    <row r="2911" spans="1:8" s="135" customFormat="1" ht="20.25" customHeight="1">
      <c r="A2911" s="273"/>
      <c r="B2911" s="297"/>
      <c r="C2911" s="297"/>
      <c r="D2911" s="297"/>
      <c r="E2911" s="297"/>
      <c r="F2911" s="273"/>
      <c r="G2911" s="273"/>
      <c r="H2911" s="273"/>
    </row>
    <row r="2912" spans="1:8" s="135" customFormat="1" ht="20.25" customHeight="1">
      <c r="A2912" s="273"/>
      <c r="B2912" s="297"/>
      <c r="C2912" s="297"/>
      <c r="D2912" s="297"/>
      <c r="E2912" s="297"/>
      <c r="F2912" s="273"/>
      <c r="G2912" s="273"/>
      <c r="H2912" s="273"/>
    </row>
    <row r="2913" spans="1:8" s="135" customFormat="1" ht="20.25" customHeight="1">
      <c r="A2913" s="273"/>
      <c r="B2913" s="297"/>
      <c r="C2913" s="297"/>
      <c r="D2913" s="297"/>
      <c r="E2913" s="297"/>
      <c r="F2913" s="273"/>
      <c r="G2913" s="273"/>
      <c r="H2913" s="273"/>
    </row>
    <row r="2914" spans="1:8" s="135" customFormat="1" ht="20.25" customHeight="1">
      <c r="A2914" s="273"/>
      <c r="B2914" s="297"/>
      <c r="C2914" s="297"/>
      <c r="D2914" s="297"/>
      <c r="E2914" s="297"/>
      <c r="F2914" s="273"/>
      <c r="G2914" s="273"/>
      <c r="H2914" s="273"/>
    </row>
    <row r="2915" spans="1:8" s="135" customFormat="1" ht="20.25" customHeight="1">
      <c r="A2915" s="273"/>
      <c r="B2915" s="297"/>
      <c r="C2915" s="297"/>
      <c r="D2915" s="297"/>
      <c r="E2915" s="297"/>
      <c r="F2915" s="273"/>
      <c r="G2915" s="273"/>
      <c r="H2915" s="273"/>
    </row>
    <row r="2916" spans="1:8" s="135" customFormat="1" ht="20.25" customHeight="1">
      <c r="A2916" s="273"/>
      <c r="B2916" s="297"/>
      <c r="C2916" s="297"/>
      <c r="D2916" s="297"/>
      <c r="E2916" s="297"/>
      <c r="F2916" s="273"/>
      <c r="G2916" s="273"/>
      <c r="H2916" s="273"/>
    </row>
    <row r="2917" spans="1:8" s="135" customFormat="1" ht="20.25" customHeight="1">
      <c r="A2917" s="273"/>
      <c r="B2917" s="297"/>
      <c r="C2917" s="297"/>
      <c r="D2917" s="297"/>
      <c r="E2917" s="297"/>
      <c r="F2917" s="273"/>
      <c r="G2917" s="273"/>
      <c r="H2917" s="273"/>
    </row>
    <row r="2918" spans="1:8" s="135" customFormat="1" ht="20.25" customHeight="1">
      <c r="A2918" s="273"/>
      <c r="B2918" s="297"/>
      <c r="C2918" s="297"/>
      <c r="D2918" s="297"/>
      <c r="E2918" s="297"/>
      <c r="F2918" s="273"/>
      <c r="G2918" s="273"/>
      <c r="H2918" s="273"/>
    </row>
    <row r="2919" spans="1:8" s="135" customFormat="1" ht="20.25" customHeight="1">
      <c r="A2919" s="273"/>
      <c r="B2919" s="297"/>
      <c r="C2919" s="297"/>
      <c r="D2919" s="297"/>
      <c r="E2919" s="297"/>
      <c r="F2919" s="273"/>
      <c r="G2919" s="273"/>
      <c r="H2919" s="273"/>
    </row>
    <row r="2920" spans="1:8" s="135" customFormat="1" ht="20.25" customHeight="1">
      <c r="A2920" s="273"/>
      <c r="B2920" s="297"/>
      <c r="C2920" s="297"/>
      <c r="D2920" s="297"/>
      <c r="E2920" s="297"/>
      <c r="F2920" s="273"/>
      <c r="G2920" s="273"/>
      <c r="H2920" s="273"/>
    </row>
    <row r="2921" spans="1:8" s="135" customFormat="1" ht="20.25" customHeight="1">
      <c r="A2921" s="273"/>
      <c r="B2921" s="297"/>
      <c r="C2921" s="297"/>
      <c r="D2921" s="297"/>
      <c r="E2921" s="297"/>
      <c r="F2921" s="273"/>
      <c r="G2921" s="273"/>
      <c r="H2921" s="273"/>
    </row>
    <row r="2922" spans="1:8" s="135" customFormat="1" ht="20.25" customHeight="1">
      <c r="A2922" s="273"/>
      <c r="B2922" s="297"/>
      <c r="C2922" s="297"/>
      <c r="D2922" s="297"/>
      <c r="E2922" s="297"/>
      <c r="F2922" s="273"/>
      <c r="G2922" s="273"/>
      <c r="H2922" s="273"/>
    </row>
    <row r="2923" spans="1:8" s="135" customFormat="1" ht="20.25" customHeight="1">
      <c r="A2923" s="273"/>
      <c r="B2923" s="297"/>
      <c r="C2923" s="297"/>
      <c r="D2923" s="297"/>
      <c r="E2923" s="297"/>
      <c r="F2923" s="273"/>
      <c r="G2923" s="273"/>
      <c r="H2923" s="273"/>
    </row>
    <row r="2924" spans="1:8" s="135" customFormat="1" ht="20.25" customHeight="1">
      <c r="A2924" s="273"/>
      <c r="B2924" s="297"/>
      <c r="C2924" s="297"/>
      <c r="D2924" s="297"/>
      <c r="E2924" s="297"/>
      <c r="F2924" s="273"/>
      <c r="G2924" s="273"/>
      <c r="H2924" s="273"/>
    </row>
    <row r="2925" spans="1:8" s="135" customFormat="1" ht="20.25" customHeight="1">
      <c r="A2925" s="273"/>
      <c r="B2925" s="297"/>
      <c r="C2925" s="297"/>
      <c r="D2925" s="297"/>
      <c r="E2925" s="297"/>
      <c r="F2925" s="273"/>
      <c r="G2925" s="273"/>
      <c r="H2925" s="273"/>
    </row>
    <row r="2926" spans="1:8" s="135" customFormat="1" ht="20.25" customHeight="1">
      <c r="A2926" s="273"/>
      <c r="B2926" s="297"/>
      <c r="C2926" s="297"/>
      <c r="D2926" s="297"/>
      <c r="E2926" s="297"/>
      <c r="F2926" s="273"/>
      <c r="G2926" s="273"/>
      <c r="H2926" s="273"/>
    </row>
    <row r="2927" spans="1:8" s="135" customFormat="1" ht="20.25" customHeight="1">
      <c r="A2927" s="273"/>
      <c r="B2927" s="297"/>
      <c r="C2927" s="297"/>
      <c r="D2927" s="297"/>
      <c r="E2927" s="297"/>
      <c r="F2927" s="273"/>
      <c r="G2927" s="273"/>
      <c r="H2927" s="273"/>
    </row>
    <row r="2928" spans="1:8" s="135" customFormat="1" ht="20.25" customHeight="1">
      <c r="A2928" s="273"/>
      <c r="B2928" s="297"/>
      <c r="C2928" s="297"/>
      <c r="D2928" s="297"/>
      <c r="E2928" s="297"/>
      <c r="F2928" s="273"/>
      <c r="G2928" s="273"/>
      <c r="H2928" s="273"/>
    </row>
    <row r="2929" spans="1:8" s="135" customFormat="1" ht="20.25" customHeight="1">
      <c r="A2929" s="273"/>
      <c r="B2929" s="297"/>
      <c r="C2929" s="297"/>
      <c r="D2929" s="297"/>
      <c r="E2929" s="297"/>
      <c r="F2929" s="273"/>
      <c r="G2929" s="273"/>
      <c r="H2929" s="273"/>
    </row>
    <row r="2930" spans="1:8" s="135" customFormat="1" ht="20.25" customHeight="1">
      <c r="A2930" s="273"/>
      <c r="B2930" s="297"/>
      <c r="C2930" s="297"/>
      <c r="D2930" s="297"/>
      <c r="E2930" s="297"/>
      <c r="F2930" s="273"/>
      <c r="G2930" s="273"/>
      <c r="H2930" s="273"/>
    </row>
    <row r="2931" spans="1:8" s="135" customFormat="1" ht="20.25" customHeight="1">
      <c r="A2931" s="273"/>
      <c r="B2931" s="297"/>
      <c r="C2931" s="297"/>
      <c r="D2931" s="297"/>
      <c r="E2931" s="297"/>
      <c r="F2931" s="273"/>
      <c r="G2931" s="273"/>
      <c r="H2931" s="273"/>
    </row>
    <row r="2932" spans="1:8" s="135" customFormat="1" ht="20.25" customHeight="1">
      <c r="A2932" s="273"/>
      <c r="B2932" s="297"/>
      <c r="C2932" s="297"/>
      <c r="D2932" s="297"/>
      <c r="E2932" s="297"/>
      <c r="F2932" s="273"/>
      <c r="G2932" s="273"/>
      <c r="H2932" s="273"/>
    </row>
    <row r="2933" spans="1:8" s="135" customFormat="1" ht="20.25" customHeight="1">
      <c r="A2933" s="273"/>
      <c r="B2933" s="297"/>
      <c r="C2933" s="297"/>
      <c r="D2933" s="297"/>
      <c r="E2933" s="297"/>
      <c r="F2933" s="273"/>
      <c r="G2933" s="273"/>
      <c r="H2933" s="273"/>
    </row>
    <row r="2934" spans="1:8" s="135" customFormat="1" ht="20.25" customHeight="1">
      <c r="A2934" s="273"/>
      <c r="B2934" s="297"/>
      <c r="C2934" s="297"/>
      <c r="D2934" s="297"/>
      <c r="E2934" s="297"/>
      <c r="F2934" s="273"/>
      <c r="G2934" s="273"/>
      <c r="H2934" s="273"/>
    </row>
    <row r="2935" spans="1:8" s="135" customFormat="1" ht="20.25" customHeight="1">
      <c r="A2935" s="273"/>
      <c r="B2935" s="297"/>
      <c r="C2935" s="297"/>
      <c r="D2935" s="297"/>
      <c r="E2935" s="297"/>
      <c r="F2935" s="273"/>
      <c r="G2935" s="273"/>
      <c r="H2935" s="273"/>
    </row>
    <row r="2936" spans="1:8" s="135" customFormat="1" ht="20.25" customHeight="1">
      <c r="A2936" s="273"/>
      <c r="B2936" s="297"/>
      <c r="C2936" s="297"/>
      <c r="D2936" s="297"/>
      <c r="E2936" s="297"/>
      <c r="F2936" s="273"/>
      <c r="G2936" s="273"/>
      <c r="H2936" s="273"/>
    </row>
    <row r="2937" spans="1:8" s="135" customFormat="1" ht="20.25" customHeight="1">
      <c r="A2937" s="273"/>
      <c r="B2937" s="297"/>
      <c r="C2937" s="297"/>
      <c r="D2937" s="297"/>
      <c r="E2937" s="297"/>
      <c r="F2937" s="273"/>
      <c r="G2937" s="273"/>
      <c r="H2937" s="273"/>
    </row>
    <row r="2938" spans="1:8" s="135" customFormat="1" ht="20.25" customHeight="1">
      <c r="A2938" s="273"/>
      <c r="B2938" s="297"/>
      <c r="C2938" s="297"/>
      <c r="D2938" s="297"/>
      <c r="E2938" s="297"/>
      <c r="F2938" s="273"/>
      <c r="G2938" s="273"/>
      <c r="H2938" s="273"/>
    </row>
    <row r="2939" spans="1:8" s="135" customFormat="1" ht="20.25" customHeight="1">
      <c r="A2939" s="273"/>
      <c r="B2939" s="297"/>
      <c r="C2939" s="297"/>
      <c r="D2939" s="297"/>
      <c r="E2939" s="297"/>
      <c r="F2939" s="273"/>
      <c r="G2939" s="273"/>
      <c r="H2939" s="273"/>
    </row>
    <row r="2940" spans="1:8" s="135" customFormat="1" ht="20.25" customHeight="1">
      <c r="A2940" s="273"/>
      <c r="B2940" s="297"/>
      <c r="C2940" s="297"/>
      <c r="D2940" s="297"/>
      <c r="E2940" s="297"/>
      <c r="F2940" s="273"/>
      <c r="G2940" s="273"/>
      <c r="H2940" s="273"/>
    </row>
    <row r="2941" spans="1:8" s="135" customFormat="1" ht="20.25" customHeight="1">
      <c r="A2941" s="273"/>
      <c r="B2941" s="297"/>
      <c r="C2941" s="297"/>
      <c r="D2941" s="297"/>
      <c r="E2941" s="297"/>
      <c r="F2941" s="273"/>
      <c r="G2941" s="273"/>
      <c r="H2941" s="273"/>
    </row>
    <row r="2942" spans="1:8" s="135" customFormat="1" ht="20.25" customHeight="1">
      <c r="A2942" s="273"/>
      <c r="B2942" s="297"/>
      <c r="C2942" s="297"/>
      <c r="D2942" s="297"/>
      <c r="E2942" s="297"/>
      <c r="F2942" s="273"/>
      <c r="G2942" s="273"/>
      <c r="H2942" s="273"/>
    </row>
    <row r="2943" spans="1:8" s="135" customFormat="1" ht="20.25" customHeight="1">
      <c r="A2943" s="273"/>
      <c r="B2943" s="297"/>
      <c r="C2943" s="297"/>
      <c r="D2943" s="297"/>
      <c r="E2943" s="297"/>
      <c r="F2943" s="273"/>
      <c r="G2943" s="273"/>
      <c r="H2943" s="273"/>
    </row>
    <row r="2944" spans="1:8" s="135" customFormat="1" ht="20.25" customHeight="1">
      <c r="A2944" s="273"/>
      <c r="B2944" s="297"/>
      <c r="C2944" s="297"/>
      <c r="D2944" s="297"/>
      <c r="E2944" s="297"/>
      <c r="F2944" s="273"/>
      <c r="G2944" s="273"/>
      <c r="H2944" s="273"/>
    </row>
    <row r="2945" spans="1:8" s="135" customFormat="1" ht="20.25" customHeight="1">
      <c r="A2945" s="273"/>
      <c r="B2945" s="297"/>
      <c r="C2945" s="297"/>
      <c r="D2945" s="297"/>
      <c r="E2945" s="297"/>
      <c r="F2945" s="273"/>
      <c r="G2945" s="273"/>
      <c r="H2945" s="273"/>
    </row>
    <row r="2946" spans="1:8" s="135" customFormat="1" ht="20.25" customHeight="1">
      <c r="A2946" s="273"/>
      <c r="B2946" s="297"/>
      <c r="C2946" s="297"/>
      <c r="D2946" s="297"/>
      <c r="E2946" s="297"/>
      <c r="F2946" s="273"/>
      <c r="G2946" s="273"/>
      <c r="H2946" s="273"/>
    </row>
    <row r="2947" spans="1:8" s="135" customFormat="1" ht="20.25" customHeight="1">
      <c r="A2947" s="273"/>
      <c r="B2947" s="297"/>
      <c r="C2947" s="297"/>
      <c r="D2947" s="297"/>
      <c r="E2947" s="297"/>
      <c r="F2947" s="273"/>
      <c r="G2947" s="273"/>
      <c r="H2947" s="273"/>
    </row>
    <row r="2948" spans="1:8" s="135" customFormat="1" ht="20.25" customHeight="1">
      <c r="A2948" s="273"/>
      <c r="B2948" s="297"/>
      <c r="C2948" s="297"/>
      <c r="D2948" s="297"/>
      <c r="E2948" s="297"/>
      <c r="F2948" s="273"/>
      <c r="G2948" s="273"/>
      <c r="H2948" s="273"/>
    </row>
    <row r="2949" spans="1:8" s="135" customFormat="1" ht="20.25" customHeight="1">
      <c r="A2949" s="273"/>
      <c r="B2949" s="297"/>
      <c r="C2949" s="297"/>
      <c r="D2949" s="297"/>
      <c r="E2949" s="297"/>
      <c r="F2949" s="273"/>
      <c r="G2949" s="273"/>
      <c r="H2949" s="273"/>
    </row>
    <row r="2950" spans="1:8" s="135" customFormat="1" ht="20.25" customHeight="1">
      <c r="A2950" s="273"/>
      <c r="B2950" s="297"/>
      <c r="C2950" s="297"/>
      <c r="D2950" s="297"/>
      <c r="E2950" s="297"/>
      <c r="F2950" s="273"/>
      <c r="G2950" s="273"/>
      <c r="H2950" s="273"/>
    </row>
    <row r="2951" spans="1:8" s="135" customFormat="1" ht="20.25" customHeight="1">
      <c r="A2951" s="273"/>
      <c r="B2951" s="297"/>
      <c r="C2951" s="297"/>
      <c r="D2951" s="297"/>
      <c r="E2951" s="297"/>
      <c r="F2951" s="273"/>
      <c r="G2951" s="273"/>
      <c r="H2951" s="273"/>
    </row>
    <row r="2952" spans="1:8" s="135" customFormat="1" ht="20.25" customHeight="1">
      <c r="A2952" s="273"/>
      <c r="B2952" s="297"/>
      <c r="C2952" s="297"/>
      <c r="D2952" s="297"/>
      <c r="E2952" s="297"/>
      <c r="F2952" s="273"/>
      <c r="G2952" s="273"/>
      <c r="H2952" s="273"/>
    </row>
    <row r="2953" spans="1:8" s="135" customFormat="1" ht="20.25" customHeight="1">
      <c r="A2953" s="273"/>
      <c r="B2953" s="297"/>
      <c r="C2953" s="297"/>
      <c r="D2953" s="297"/>
      <c r="E2953" s="297"/>
      <c r="F2953" s="273"/>
      <c r="G2953" s="273"/>
      <c r="H2953" s="273"/>
    </row>
    <row r="2954" spans="1:8" s="135" customFormat="1" ht="20.25" customHeight="1">
      <c r="A2954" s="273"/>
      <c r="B2954" s="297"/>
      <c r="C2954" s="297"/>
      <c r="D2954" s="297"/>
      <c r="E2954" s="297"/>
      <c r="F2954" s="273"/>
      <c r="G2954" s="273"/>
      <c r="H2954" s="273"/>
    </row>
    <row r="2955" spans="1:8" s="135" customFormat="1" ht="20.25" customHeight="1">
      <c r="A2955" s="273"/>
      <c r="B2955" s="297"/>
      <c r="C2955" s="297"/>
      <c r="D2955" s="297"/>
      <c r="E2955" s="297"/>
      <c r="F2955" s="273"/>
      <c r="G2955" s="273"/>
      <c r="H2955" s="273"/>
    </row>
    <row r="2956" spans="1:8" s="135" customFormat="1" ht="20.25" customHeight="1">
      <c r="A2956" s="273"/>
      <c r="B2956" s="297"/>
      <c r="C2956" s="297"/>
      <c r="D2956" s="297"/>
      <c r="E2956" s="297"/>
      <c r="F2956" s="273"/>
      <c r="G2956" s="273"/>
      <c r="H2956" s="273"/>
    </row>
    <row r="2957" spans="1:8" s="135" customFormat="1" ht="20.25" customHeight="1">
      <c r="A2957" s="273"/>
      <c r="B2957" s="297"/>
      <c r="C2957" s="297"/>
      <c r="D2957" s="297"/>
      <c r="E2957" s="297"/>
      <c r="F2957" s="273"/>
      <c r="G2957" s="273"/>
      <c r="H2957" s="273"/>
    </row>
    <row r="2958" spans="1:8" s="135" customFormat="1" ht="20.25" customHeight="1">
      <c r="A2958" s="273"/>
      <c r="B2958" s="297"/>
      <c r="C2958" s="297"/>
      <c r="D2958" s="297"/>
      <c r="E2958" s="297"/>
      <c r="F2958" s="273"/>
      <c r="G2958" s="273"/>
      <c r="H2958" s="273"/>
    </row>
    <row r="2959" spans="1:8" s="135" customFormat="1" ht="20.25" customHeight="1">
      <c r="A2959" s="273"/>
      <c r="B2959" s="297"/>
      <c r="C2959" s="297"/>
      <c r="D2959" s="297"/>
      <c r="E2959" s="297"/>
      <c r="F2959" s="273"/>
      <c r="G2959" s="273"/>
      <c r="H2959" s="273"/>
    </row>
    <row r="2960" spans="1:8" s="135" customFormat="1" ht="20.25" customHeight="1">
      <c r="A2960" s="273"/>
      <c r="B2960" s="297"/>
      <c r="C2960" s="297"/>
      <c r="D2960" s="297"/>
      <c r="E2960" s="297"/>
      <c r="F2960" s="273"/>
      <c r="G2960" s="273"/>
      <c r="H2960" s="273"/>
    </row>
    <row r="2961" spans="1:8" s="135" customFormat="1" ht="20.25" customHeight="1">
      <c r="A2961" s="273"/>
      <c r="B2961" s="297"/>
      <c r="C2961" s="297"/>
      <c r="D2961" s="297"/>
      <c r="E2961" s="297"/>
      <c r="F2961" s="273"/>
      <c r="G2961" s="273"/>
      <c r="H2961" s="273"/>
    </row>
    <row r="2962" spans="1:8" s="135" customFormat="1" ht="20.25" customHeight="1">
      <c r="A2962" s="273"/>
      <c r="B2962" s="297"/>
      <c r="C2962" s="297"/>
      <c r="D2962" s="297"/>
      <c r="E2962" s="297"/>
      <c r="F2962" s="273"/>
      <c r="G2962" s="273"/>
      <c r="H2962" s="273"/>
    </row>
    <row r="2963" spans="1:8" s="135" customFormat="1" ht="20.25" customHeight="1">
      <c r="A2963" s="273"/>
      <c r="B2963" s="297"/>
      <c r="C2963" s="297"/>
      <c r="D2963" s="297"/>
      <c r="E2963" s="297"/>
      <c r="F2963" s="273"/>
      <c r="G2963" s="273"/>
      <c r="H2963" s="273"/>
    </row>
    <row r="2964" spans="1:8" s="135" customFormat="1" ht="20.25" customHeight="1">
      <c r="A2964" s="273"/>
      <c r="B2964" s="297"/>
      <c r="C2964" s="297"/>
      <c r="D2964" s="297"/>
      <c r="E2964" s="297"/>
      <c r="F2964" s="273"/>
      <c r="G2964" s="273"/>
      <c r="H2964" s="273"/>
    </row>
    <row r="2965" spans="1:8" s="135" customFormat="1" ht="20.25" customHeight="1">
      <c r="A2965" s="273"/>
      <c r="B2965" s="297"/>
      <c r="C2965" s="297"/>
      <c r="D2965" s="297"/>
      <c r="E2965" s="297"/>
      <c r="F2965" s="273"/>
      <c r="G2965" s="273"/>
      <c r="H2965" s="273"/>
    </row>
    <row r="2966" spans="1:8" s="135" customFormat="1" ht="20.25" customHeight="1">
      <c r="A2966" s="273"/>
      <c r="B2966" s="297"/>
      <c r="C2966" s="297"/>
      <c r="D2966" s="297"/>
      <c r="E2966" s="297"/>
      <c r="F2966" s="273"/>
      <c r="G2966" s="273"/>
      <c r="H2966" s="273"/>
    </row>
    <row r="2967" spans="1:8" s="135" customFormat="1" ht="20.25" customHeight="1">
      <c r="A2967" s="273"/>
      <c r="B2967" s="297"/>
      <c r="C2967" s="297"/>
      <c r="D2967" s="297"/>
      <c r="E2967" s="297"/>
      <c r="F2967" s="273"/>
      <c r="G2967" s="273"/>
      <c r="H2967" s="273"/>
    </row>
    <row r="2968" spans="1:8" s="135" customFormat="1" ht="20.25" customHeight="1">
      <c r="A2968" s="273"/>
      <c r="B2968" s="297"/>
      <c r="C2968" s="297"/>
      <c r="D2968" s="297"/>
      <c r="E2968" s="297"/>
      <c r="F2968" s="273"/>
      <c r="G2968" s="273"/>
      <c r="H2968" s="273"/>
    </row>
    <row r="2969" spans="1:8" s="135" customFormat="1" ht="20.25" customHeight="1">
      <c r="A2969" s="273"/>
      <c r="B2969" s="297"/>
      <c r="C2969" s="297"/>
      <c r="D2969" s="297"/>
      <c r="E2969" s="297"/>
      <c r="F2969" s="273"/>
      <c r="G2969" s="273"/>
      <c r="H2969" s="273"/>
    </row>
    <row r="2970" spans="1:8" s="135" customFormat="1" ht="20.25" customHeight="1">
      <c r="A2970" s="273"/>
      <c r="B2970" s="297"/>
      <c r="C2970" s="297"/>
      <c r="D2970" s="297"/>
      <c r="E2970" s="297"/>
      <c r="F2970" s="273"/>
      <c r="G2970" s="273"/>
      <c r="H2970" s="273"/>
    </row>
    <row r="2971" spans="1:8" s="135" customFormat="1" ht="20.25" customHeight="1">
      <c r="A2971" s="273"/>
      <c r="B2971" s="297"/>
      <c r="C2971" s="297"/>
      <c r="D2971" s="297"/>
      <c r="E2971" s="297"/>
      <c r="F2971" s="273"/>
      <c r="G2971" s="273"/>
      <c r="H2971" s="273"/>
    </row>
    <row r="2972" spans="1:8" s="135" customFormat="1" ht="20.25" customHeight="1">
      <c r="A2972" s="273"/>
      <c r="B2972" s="297"/>
      <c r="C2972" s="297"/>
      <c r="D2972" s="297"/>
      <c r="E2972" s="297"/>
      <c r="F2972" s="273"/>
      <c r="G2972" s="273"/>
      <c r="H2972" s="273"/>
    </row>
    <row r="2973" spans="1:8" s="135" customFormat="1" ht="20.25" customHeight="1">
      <c r="A2973" s="273"/>
      <c r="B2973" s="297"/>
      <c r="C2973" s="297"/>
      <c r="D2973" s="297"/>
      <c r="E2973" s="297"/>
      <c r="F2973" s="273"/>
      <c r="G2973" s="273"/>
      <c r="H2973" s="273"/>
    </row>
    <row r="2974" spans="1:8" s="135" customFormat="1" ht="20.25" customHeight="1">
      <c r="A2974" s="273"/>
      <c r="B2974" s="297"/>
      <c r="C2974" s="297"/>
      <c r="D2974" s="297"/>
      <c r="E2974" s="297"/>
      <c r="F2974" s="273"/>
      <c r="G2974" s="273"/>
      <c r="H2974" s="273"/>
    </row>
    <row r="2975" spans="1:8" s="135" customFormat="1" ht="20.25" customHeight="1">
      <c r="A2975" s="273"/>
      <c r="B2975" s="297"/>
      <c r="C2975" s="297"/>
      <c r="D2975" s="297"/>
      <c r="E2975" s="297"/>
      <c r="F2975" s="273"/>
      <c r="G2975" s="273"/>
      <c r="H2975" s="273"/>
    </row>
    <row r="2976" spans="1:8" s="135" customFormat="1" ht="20.25" customHeight="1">
      <c r="A2976" s="273"/>
      <c r="B2976" s="297"/>
      <c r="C2976" s="297"/>
      <c r="D2976" s="297"/>
      <c r="E2976" s="297"/>
      <c r="F2976" s="273"/>
      <c r="G2976" s="273"/>
      <c r="H2976" s="273"/>
    </row>
    <row r="2977" spans="1:8" s="135" customFormat="1" ht="20.25" customHeight="1">
      <c r="A2977" s="273"/>
      <c r="B2977" s="297"/>
      <c r="C2977" s="297"/>
      <c r="D2977" s="297"/>
      <c r="E2977" s="297"/>
      <c r="F2977" s="273"/>
      <c r="G2977" s="273"/>
      <c r="H2977" s="273"/>
    </row>
    <row r="2978" spans="1:8" s="135" customFormat="1" ht="20.25" customHeight="1">
      <c r="A2978" s="273"/>
      <c r="B2978" s="297"/>
      <c r="C2978" s="297"/>
      <c r="D2978" s="297"/>
      <c r="E2978" s="297"/>
      <c r="F2978" s="273"/>
      <c r="G2978" s="273"/>
      <c r="H2978" s="273"/>
    </row>
    <row r="2979" spans="1:8" s="135" customFormat="1" ht="20.25" customHeight="1">
      <c r="A2979" s="273"/>
      <c r="B2979" s="297"/>
      <c r="C2979" s="297"/>
      <c r="D2979" s="297"/>
      <c r="E2979" s="297"/>
      <c r="F2979" s="273"/>
      <c r="G2979" s="273"/>
      <c r="H2979" s="273"/>
    </row>
    <row r="2980" spans="1:8" s="135" customFormat="1" ht="20.25" customHeight="1">
      <c r="A2980" s="273"/>
      <c r="B2980" s="297"/>
      <c r="C2980" s="297"/>
      <c r="D2980" s="297"/>
      <c r="E2980" s="297"/>
      <c r="F2980" s="273"/>
      <c r="G2980" s="273"/>
      <c r="H2980" s="273"/>
    </row>
    <row r="2981" spans="1:8" s="135" customFormat="1" ht="20.25" customHeight="1">
      <c r="A2981" s="273"/>
      <c r="B2981" s="297"/>
      <c r="C2981" s="297"/>
      <c r="D2981" s="297"/>
      <c r="E2981" s="297"/>
      <c r="F2981" s="273"/>
      <c r="G2981" s="273"/>
      <c r="H2981" s="273"/>
    </row>
    <row r="2982" spans="1:8" s="135" customFormat="1" ht="20.25" customHeight="1">
      <c r="A2982" s="273"/>
      <c r="B2982" s="297"/>
      <c r="C2982" s="297"/>
      <c r="D2982" s="297"/>
      <c r="E2982" s="297"/>
      <c r="F2982" s="273"/>
      <c r="G2982" s="273"/>
      <c r="H2982" s="273"/>
    </row>
    <row r="2983" spans="1:8" s="135" customFormat="1" ht="20.25" customHeight="1">
      <c r="A2983" s="273"/>
      <c r="B2983" s="297"/>
      <c r="C2983" s="297"/>
      <c r="D2983" s="297"/>
      <c r="E2983" s="297"/>
      <c r="F2983" s="273"/>
      <c r="G2983" s="273"/>
      <c r="H2983" s="273"/>
    </row>
    <row r="2984" spans="1:8" s="135" customFormat="1" ht="20.25" customHeight="1">
      <c r="A2984" s="273"/>
      <c r="B2984" s="297"/>
      <c r="C2984" s="297"/>
      <c r="D2984" s="297"/>
      <c r="E2984" s="297"/>
      <c r="F2984" s="273"/>
      <c r="G2984" s="273"/>
      <c r="H2984" s="273"/>
    </row>
    <row r="2985" spans="1:8" s="135" customFormat="1" ht="20.25" customHeight="1">
      <c r="A2985" s="273"/>
      <c r="B2985" s="297"/>
      <c r="C2985" s="297"/>
      <c r="D2985" s="297"/>
      <c r="E2985" s="297"/>
      <c r="F2985" s="273"/>
      <c r="G2985" s="273"/>
      <c r="H2985" s="273"/>
    </row>
    <row r="2986" spans="1:8" s="135" customFormat="1" ht="20.25" customHeight="1">
      <c r="A2986" s="273"/>
      <c r="B2986" s="297"/>
      <c r="C2986" s="297"/>
      <c r="D2986" s="297"/>
      <c r="E2986" s="297"/>
      <c r="F2986" s="273"/>
      <c r="G2986" s="273"/>
      <c r="H2986" s="273"/>
    </row>
    <row r="2987" spans="1:8" s="135" customFormat="1" ht="20.25" customHeight="1">
      <c r="A2987" s="273"/>
      <c r="B2987" s="297"/>
      <c r="C2987" s="297"/>
      <c r="D2987" s="297"/>
      <c r="E2987" s="297"/>
      <c r="F2987" s="273"/>
      <c r="G2987" s="273"/>
      <c r="H2987" s="273"/>
    </row>
    <row r="2988" spans="1:8" s="135" customFormat="1" ht="20.25" customHeight="1">
      <c r="A2988" s="273"/>
      <c r="B2988" s="297"/>
      <c r="C2988" s="297"/>
      <c r="D2988" s="297"/>
      <c r="E2988" s="297"/>
      <c r="F2988" s="273"/>
      <c r="G2988" s="273"/>
      <c r="H2988" s="273"/>
    </row>
    <row r="2989" spans="1:8" s="135" customFormat="1" ht="20.25" customHeight="1">
      <c r="A2989" s="273"/>
      <c r="B2989" s="297"/>
      <c r="C2989" s="297"/>
      <c r="D2989" s="297"/>
      <c r="E2989" s="297"/>
      <c r="F2989" s="273"/>
      <c r="G2989" s="273"/>
      <c r="H2989" s="273"/>
    </row>
    <row r="2990" spans="1:8" s="135" customFormat="1" ht="20.25" customHeight="1">
      <c r="A2990" s="273"/>
      <c r="B2990" s="297"/>
      <c r="C2990" s="297"/>
      <c r="D2990" s="297"/>
      <c r="E2990" s="297"/>
      <c r="F2990" s="273"/>
      <c r="G2990" s="273"/>
      <c r="H2990" s="273"/>
    </row>
    <row r="2991" spans="1:8" s="135" customFormat="1" ht="20.25" customHeight="1">
      <c r="A2991" s="273"/>
      <c r="B2991" s="297"/>
      <c r="C2991" s="297"/>
      <c r="D2991" s="297"/>
      <c r="E2991" s="297"/>
      <c r="F2991" s="273"/>
      <c r="G2991" s="273"/>
      <c r="H2991" s="273"/>
    </row>
    <row r="2992" spans="1:8" s="135" customFormat="1" ht="20.25" customHeight="1">
      <c r="A2992" s="273"/>
      <c r="B2992" s="297"/>
      <c r="C2992" s="297"/>
      <c r="D2992" s="297"/>
      <c r="E2992" s="297"/>
      <c r="F2992" s="273"/>
      <c r="G2992" s="273"/>
      <c r="H2992" s="273"/>
    </row>
    <row r="2993" spans="1:8" s="135" customFormat="1" ht="20.25" customHeight="1">
      <c r="A2993" s="273"/>
      <c r="B2993" s="297"/>
      <c r="C2993" s="297"/>
      <c r="D2993" s="297"/>
      <c r="E2993" s="297"/>
      <c r="F2993" s="273"/>
      <c r="G2993" s="273"/>
      <c r="H2993" s="273"/>
    </row>
    <row r="2994" spans="1:8" s="135" customFormat="1" ht="20.25" customHeight="1">
      <c r="A2994" s="273"/>
      <c r="B2994" s="297"/>
      <c r="C2994" s="297"/>
      <c r="D2994" s="297"/>
      <c r="E2994" s="297"/>
      <c r="F2994" s="273"/>
      <c r="G2994" s="273"/>
      <c r="H2994" s="273"/>
    </row>
    <row r="2995" spans="1:8" s="135" customFormat="1" ht="20.25" customHeight="1">
      <c r="A2995" s="273"/>
      <c r="B2995" s="297"/>
      <c r="C2995" s="297"/>
      <c r="D2995" s="297"/>
      <c r="E2995" s="297"/>
      <c r="F2995" s="273"/>
      <c r="G2995" s="273"/>
      <c r="H2995" s="273"/>
    </row>
    <row r="2996" spans="1:8" s="135" customFormat="1" ht="20.25" customHeight="1">
      <c r="A2996" s="273"/>
      <c r="B2996" s="297"/>
      <c r="C2996" s="297"/>
      <c r="D2996" s="297"/>
      <c r="E2996" s="297"/>
      <c r="F2996" s="273"/>
      <c r="G2996" s="273"/>
      <c r="H2996" s="273"/>
    </row>
    <row r="2997" spans="1:8" s="135" customFormat="1" ht="20.25" customHeight="1">
      <c r="A2997" s="273"/>
      <c r="B2997" s="297"/>
      <c r="C2997" s="297"/>
      <c r="D2997" s="297"/>
      <c r="E2997" s="297"/>
      <c r="F2997" s="273"/>
      <c r="G2997" s="273"/>
      <c r="H2997" s="273"/>
    </row>
    <row r="2998" spans="1:8" s="135" customFormat="1" ht="20.25" customHeight="1">
      <c r="A2998" s="273"/>
      <c r="B2998" s="297"/>
      <c r="C2998" s="297"/>
      <c r="D2998" s="297"/>
      <c r="E2998" s="297"/>
      <c r="F2998" s="273"/>
      <c r="G2998" s="273"/>
      <c r="H2998" s="273"/>
    </row>
    <row r="2999" spans="1:8" s="135" customFormat="1" ht="20.25" customHeight="1">
      <c r="A2999" s="273"/>
      <c r="B2999" s="297"/>
      <c r="C2999" s="297"/>
      <c r="D2999" s="297"/>
      <c r="E2999" s="297"/>
      <c r="F2999" s="273"/>
      <c r="G2999" s="273"/>
      <c r="H2999" s="273"/>
    </row>
    <row r="3000" spans="1:8" s="135" customFormat="1" ht="20.25" customHeight="1">
      <c r="A3000" s="273"/>
      <c r="B3000" s="297"/>
      <c r="C3000" s="297"/>
      <c r="D3000" s="297"/>
      <c r="E3000" s="297"/>
      <c r="F3000" s="273"/>
      <c r="G3000" s="273"/>
      <c r="H3000" s="273"/>
    </row>
    <row r="3001" spans="1:8" s="135" customFormat="1" ht="20.25" customHeight="1">
      <c r="A3001" s="273"/>
      <c r="B3001" s="297"/>
      <c r="C3001" s="297"/>
      <c r="D3001" s="297"/>
      <c r="E3001" s="297"/>
      <c r="F3001" s="273"/>
      <c r="G3001" s="273"/>
      <c r="H3001" s="273"/>
    </row>
    <row r="3002" spans="1:8" s="135" customFormat="1" ht="20.25" customHeight="1">
      <c r="A3002" s="273"/>
      <c r="B3002" s="297"/>
      <c r="C3002" s="297"/>
      <c r="D3002" s="297"/>
      <c r="E3002" s="297"/>
      <c r="F3002" s="273"/>
      <c r="G3002" s="273"/>
      <c r="H3002" s="273"/>
    </row>
    <row r="3003" spans="1:8" s="135" customFormat="1" ht="20.25" customHeight="1">
      <c r="A3003" s="273"/>
      <c r="B3003" s="297"/>
      <c r="C3003" s="297"/>
      <c r="D3003" s="297"/>
      <c r="E3003" s="297"/>
      <c r="F3003" s="273"/>
      <c r="G3003" s="273"/>
      <c r="H3003" s="273"/>
    </row>
    <row r="3004" spans="1:8" s="135" customFormat="1" ht="20.25" customHeight="1">
      <c r="A3004" s="273"/>
      <c r="B3004" s="297"/>
      <c r="C3004" s="297"/>
      <c r="D3004" s="297"/>
      <c r="E3004" s="297"/>
      <c r="F3004" s="273"/>
      <c r="G3004" s="273"/>
      <c r="H3004" s="273"/>
    </row>
    <row r="3005" spans="1:8" s="135" customFormat="1" ht="20.25" customHeight="1">
      <c r="A3005" s="273"/>
      <c r="B3005" s="297"/>
      <c r="C3005" s="297"/>
      <c r="D3005" s="297"/>
      <c r="E3005" s="297"/>
      <c r="F3005" s="273"/>
      <c r="G3005" s="273"/>
      <c r="H3005" s="273"/>
    </row>
    <row r="3006" spans="1:8" s="135" customFormat="1" ht="20.25" customHeight="1">
      <c r="A3006" s="273"/>
      <c r="B3006" s="297"/>
      <c r="C3006" s="297"/>
      <c r="D3006" s="297"/>
      <c r="E3006" s="297"/>
      <c r="F3006" s="273"/>
      <c r="G3006" s="273"/>
      <c r="H3006" s="273"/>
    </row>
    <row r="3007" spans="1:8" s="135" customFormat="1" ht="20.25" customHeight="1">
      <c r="A3007" s="273"/>
      <c r="B3007" s="297"/>
      <c r="C3007" s="297"/>
      <c r="D3007" s="297"/>
      <c r="E3007" s="297"/>
      <c r="F3007" s="273"/>
      <c r="G3007" s="273"/>
      <c r="H3007" s="273"/>
    </row>
    <row r="3008" spans="1:8" s="135" customFormat="1" ht="20.25" customHeight="1">
      <c r="A3008" s="273"/>
      <c r="B3008" s="297"/>
      <c r="C3008" s="297"/>
      <c r="D3008" s="297"/>
      <c r="E3008" s="297"/>
      <c r="F3008" s="273"/>
      <c r="G3008" s="273"/>
      <c r="H3008" s="273"/>
    </row>
    <row r="3009" spans="1:8" s="135" customFormat="1" ht="20.25" customHeight="1">
      <c r="A3009" s="273"/>
      <c r="B3009" s="297"/>
      <c r="C3009" s="297"/>
      <c r="D3009" s="297"/>
      <c r="E3009" s="297"/>
      <c r="F3009" s="273"/>
      <c r="G3009" s="273"/>
      <c r="H3009" s="273"/>
    </row>
    <row r="3010" spans="1:8" s="135" customFormat="1" ht="20.25" customHeight="1">
      <c r="A3010" s="273"/>
      <c r="B3010" s="297"/>
      <c r="C3010" s="297"/>
      <c r="D3010" s="297"/>
      <c r="E3010" s="297"/>
      <c r="F3010" s="273"/>
      <c r="G3010" s="273"/>
      <c r="H3010" s="273"/>
    </row>
    <row r="3011" spans="1:8" s="135" customFormat="1" ht="20.25" customHeight="1">
      <c r="A3011" s="273"/>
      <c r="B3011" s="297"/>
      <c r="C3011" s="297"/>
      <c r="D3011" s="297"/>
      <c r="E3011" s="297"/>
      <c r="F3011" s="273"/>
      <c r="G3011" s="273"/>
      <c r="H3011" s="273"/>
    </row>
    <row r="3012" spans="1:8" s="135" customFormat="1" ht="20.25" customHeight="1">
      <c r="A3012" s="273"/>
      <c r="B3012" s="297"/>
      <c r="C3012" s="297"/>
      <c r="D3012" s="297"/>
      <c r="E3012" s="297"/>
      <c r="F3012" s="273"/>
      <c r="G3012" s="273"/>
      <c r="H3012" s="273"/>
    </row>
    <row r="3013" spans="1:8" s="135" customFormat="1" ht="20.25" customHeight="1">
      <c r="A3013" s="273"/>
      <c r="B3013" s="297"/>
      <c r="C3013" s="297"/>
      <c r="D3013" s="297"/>
      <c r="E3013" s="297"/>
      <c r="F3013" s="273"/>
      <c r="G3013" s="273"/>
      <c r="H3013" s="273"/>
    </row>
    <row r="3014" spans="1:8" s="135" customFormat="1" ht="20.25" customHeight="1">
      <c r="A3014" s="273"/>
      <c r="B3014" s="297"/>
      <c r="C3014" s="297"/>
      <c r="D3014" s="297"/>
      <c r="E3014" s="297"/>
      <c r="F3014" s="273"/>
      <c r="G3014" s="273"/>
      <c r="H3014" s="273"/>
    </row>
    <row r="3015" spans="1:8" s="135" customFormat="1" ht="20.25" customHeight="1">
      <c r="A3015" s="273"/>
      <c r="B3015" s="297"/>
      <c r="C3015" s="297"/>
      <c r="D3015" s="297"/>
      <c r="E3015" s="297"/>
      <c r="F3015" s="273"/>
      <c r="G3015" s="273"/>
      <c r="H3015" s="273"/>
    </row>
    <row r="3016" spans="1:8" s="135" customFormat="1" ht="20.25" customHeight="1">
      <c r="A3016" s="273"/>
      <c r="B3016" s="297"/>
      <c r="C3016" s="297"/>
      <c r="D3016" s="297"/>
      <c r="E3016" s="297"/>
      <c r="F3016" s="273"/>
      <c r="G3016" s="273"/>
      <c r="H3016" s="273"/>
    </row>
    <row r="3017" spans="1:8" s="135" customFormat="1" ht="20.25" customHeight="1">
      <c r="A3017" s="273"/>
      <c r="B3017" s="297"/>
      <c r="C3017" s="297"/>
      <c r="D3017" s="297"/>
      <c r="E3017" s="297"/>
      <c r="F3017" s="273"/>
      <c r="G3017" s="273"/>
      <c r="H3017" s="273"/>
    </row>
    <row r="3018" spans="1:8" s="135" customFormat="1" ht="20.25" customHeight="1">
      <c r="A3018" s="273"/>
      <c r="B3018" s="297"/>
      <c r="C3018" s="297"/>
      <c r="D3018" s="297"/>
      <c r="E3018" s="297"/>
      <c r="F3018" s="273"/>
      <c r="G3018" s="273"/>
      <c r="H3018" s="273"/>
    </row>
    <row r="3019" spans="1:8" s="135" customFormat="1" ht="20.25" customHeight="1">
      <c r="A3019" s="273"/>
      <c r="B3019" s="297"/>
      <c r="C3019" s="297"/>
      <c r="D3019" s="297"/>
      <c r="E3019" s="297"/>
      <c r="F3019" s="273"/>
      <c r="G3019" s="273"/>
      <c r="H3019" s="273"/>
    </row>
    <row r="3020" spans="1:8" s="135" customFormat="1" ht="20.25" customHeight="1">
      <c r="A3020" s="273"/>
      <c r="B3020" s="297"/>
      <c r="C3020" s="297"/>
      <c r="D3020" s="297"/>
      <c r="E3020" s="297"/>
      <c r="F3020" s="273"/>
      <c r="G3020" s="273"/>
      <c r="H3020" s="273"/>
    </row>
    <row r="3021" spans="1:8" s="135" customFormat="1" ht="20.25" customHeight="1">
      <c r="A3021" s="273"/>
      <c r="B3021" s="297"/>
      <c r="C3021" s="297"/>
      <c r="D3021" s="297"/>
      <c r="E3021" s="297"/>
      <c r="F3021" s="273"/>
      <c r="G3021" s="273"/>
      <c r="H3021" s="273"/>
    </row>
    <row r="3022" spans="1:8" s="135" customFormat="1" ht="20.25" customHeight="1">
      <c r="A3022" s="273"/>
      <c r="B3022" s="297"/>
      <c r="C3022" s="297"/>
      <c r="D3022" s="297"/>
      <c r="E3022" s="297"/>
      <c r="F3022" s="273"/>
      <c r="G3022" s="273"/>
      <c r="H3022" s="273"/>
    </row>
    <row r="3023" spans="1:8" s="135" customFormat="1" ht="20.25" customHeight="1">
      <c r="A3023" s="273"/>
      <c r="B3023" s="297"/>
      <c r="C3023" s="297"/>
      <c r="D3023" s="297"/>
      <c r="E3023" s="297"/>
      <c r="F3023" s="273"/>
      <c r="G3023" s="273"/>
      <c r="H3023" s="273"/>
    </row>
    <row r="3024" spans="1:8" s="135" customFormat="1" ht="20.25" customHeight="1">
      <c r="A3024" s="273"/>
      <c r="B3024" s="297"/>
      <c r="C3024" s="297"/>
      <c r="D3024" s="297"/>
      <c r="E3024" s="297"/>
      <c r="F3024" s="273"/>
      <c r="G3024" s="273"/>
      <c r="H3024" s="273"/>
    </row>
    <row r="3025" spans="1:8" s="135" customFormat="1" ht="20.25" customHeight="1">
      <c r="A3025" s="273"/>
      <c r="B3025" s="297"/>
      <c r="C3025" s="297"/>
      <c r="D3025" s="297"/>
      <c r="E3025" s="297"/>
      <c r="F3025" s="273"/>
      <c r="G3025" s="273"/>
      <c r="H3025" s="273"/>
    </row>
    <row r="3026" spans="1:8" s="135" customFormat="1" ht="20.25" customHeight="1">
      <c r="A3026" s="273"/>
      <c r="B3026" s="297"/>
      <c r="C3026" s="297"/>
      <c r="D3026" s="297"/>
      <c r="E3026" s="297"/>
      <c r="F3026" s="273"/>
      <c r="G3026" s="273"/>
      <c r="H3026" s="273"/>
    </row>
    <row r="3027" spans="1:8" s="135" customFormat="1" ht="20.25" customHeight="1">
      <c r="A3027" s="273"/>
      <c r="B3027" s="297"/>
      <c r="C3027" s="297"/>
      <c r="D3027" s="297"/>
      <c r="E3027" s="297"/>
      <c r="F3027" s="273"/>
      <c r="G3027" s="273"/>
      <c r="H3027" s="273"/>
    </row>
    <row r="3028" spans="1:8" s="135" customFormat="1" ht="20.25" customHeight="1">
      <c r="A3028" s="273"/>
      <c r="B3028" s="297"/>
      <c r="C3028" s="297"/>
      <c r="D3028" s="297"/>
      <c r="E3028" s="297"/>
      <c r="F3028" s="273"/>
      <c r="G3028" s="273"/>
      <c r="H3028" s="273"/>
    </row>
    <row r="3029" spans="1:8" s="135" customFormat="1" ht="20.25" customHeight="1">
      <c r="A3029" s="273"/>
      <c r="B3029" s="297"/>
      <c r="C3029" s="297"/>
      <c r="D3029" s="297"/>
      <c r="E3029" s="297"/>
      <c r="F3029" s="273"/>
      <c r="G3029" s="273"/>
      <c r="H3029" s="273"/>
    </row>
    <row r="3030" spans="1:8" s="135" customFormat="1" ht="20.25" customHeight="1">
      <c r="A3030" s="273"/>
      <c r="B3030" s="297"/>
      <c r="C3030" s="297"/>
      <c r="D3030" s="297"/>
      <c r="E3030" s="297"/>
      <c r="F3030" s="273"/>
      <c r="G3030" s="273"/>
      <c r="H3030" s="273"/>
    </row>
    <row r="3031" spans="1:8" s="135" customFormat="1" ht="20.25" customHeight="1">
      <c r="A3031" s="273"/>
      <c r="B3031" s="297"/>
      <c r="C3031" s="297"/>
      <c r="D3031" s="297"/>
      <c r="E3031" s="297"/>
      <c r="F3031" s="273"/>
      <c r="G3031" s="273"/>
      <c r="H3031" s="273"/>
    </row>
    <row r="3032" spans="1:8" s="135" customFormat="1" ht="20.25" customHeight="1">
      <c r="A3032" s="273"/>
      <c r="B3032" s="297"/>
      <c r="C3032" s="297"/>
      <c r="D3032" s="297"/>
      <c r="E3032" s="297"/>
      <c r="F3032" s="273"/>
      <c r="G3032" s="273"/>
      <c r="H3032" s="273"/>
    </row>
    <row r="3033" spans="1:8" s="135" customFormat="1" ht="20.25" customHeight="1">
      <c r="A3033" s="273"/>
      <c r="B3033" s="297"/>
      <c r="C3033" s="297"/>
      <c r="D3033" s="297"/>
      <c r="E3033" s="297"/>
      <c r="F3033" s="273"/>
      <c r="G3033" s="273"/>
      <c r="H3033" s="273"/>
    </row>
    <row r="3034" spans="1:8" s="135" customFormat="1" ht="20.25" customHeight="1">
      <c r="A3034" s="273"/>
      <c r="B3034" s="297"/>
      <c r="C3034" s="297"/>
      <c r="D3034" s="297"/>
      <c r="E3034" s="297"/>
      <c r="F3034" s="273"/>
      <c r="G3034" s="273"/>
      <c r="H3034" s="273"/>
    </row>
    <row r="3035" spans="1:8" s="135" customFormat="1" ht="20.25" customHeight="1">
      <c r="A3035" s="273"/>
      <c r="B3035" s="297"/>
      <c r="C3035" s="297"/>
      <c r="D3035" s="297"/>
      <c r="E3035" s="297"/>
      <c r="F3035" s="273"/>
      <c r="G3035" s="273"/>
      <c r="H3035" s="273"/>
    </row>
    <row r="3036" spans="1:8" s="135" customFormat="1" ht="20.25" customHeight="1">
      <c r="A3036" s="273"/>
      <c r="B3036" s="297"/>
      <c r="C3036" s="297"/>
      <c r="D3036" s="297"/>
      <c r="E3036" s="297"/>
      <c r="F3036" s="273"/>
      <c r="G3036" s="273"/>
      <c r="H3036" s="273"/>
    </row>
    <row r="3037" spans="1:8" s="135" customFormat="1" ht="20.25" customHeight="1">
      <c r="A3037" s="273"/>
      <c r="B3037" s="297"/>
      <c r="C3037" s="297"/>
      <c r="D3037" s="297"/>
      <c r="E3037" s="297"/>
      <c r="F3037" s="273"/>
      <c r="G3037" s="273"/>
      <c r="H3037" s="273"/>
    </row>
    <row r="3038" spans="1:8" s="135" customFormat="1" ht="20.25" customHeight="1">
      <c r="A3038" s="273"/>
      <c r="B3038" s="297"/>
      <c r="C3038" s="297"/>
      <c r="D3038" s="297"/>
      <c r="E3038" s="297"/>
      <c r="F3038" s="273"/>
      <c r="G3038" s="273"/>
      <c r="H3038" s="273"/>
    </row>
    <row r="3039" spans="1:8" s="135" customFormat="1" ht="20.25" customHeight="1">
      <c r="A3039" s="273"/>
      <c r="B3039" s="297"/>
      <c r="C3039" s="297"/>
      <c r="D3039" s="297"/>
      <c r="E3039" s="297"/>
      <c r="F3039" s="273"/>
      <c r="G3039" s="273"/>
      <c r="H3039" s="273"/>
    </row>
    <row r="3040" spans="1:8" s="135" customFormat="1" ht="20.25" customHeight="1">
      <c r="A3040" s="273"/>
      <c r="B3040" s="297"/>
      <c r="C3040" s="297"/>
      <c r="D3040" s="297"/>
      <c r="E3040" s="297"/>
      <c r="F3040" s="273"/>
      <c r="G3040" s="273"/>
      <c r="H3040" s="273"/>
    </row>
    <row r="3041" spans="1:8" s="135" customFormat="1" ht="20.25" customHeight="1">
      <c r="A3041" s="273"/>
      <c r="B3041" s="297"/>
      <c r="C3041" s="297"/>
      <c r="D3041" s="297"/>
      <c r="E3041" s="297"/>
      <c r="F3041" s="273"/>
      <c r="G3041" s="273"/>
      <c r="H3041" s="273"/>
    </row>
    <row r="3042" spans="1:8" s="135" customFormat="1" ht="20.25" customHeight="1">
      <c r="A3042" s="273"/>
      <c r="B3042" s="297"/>
      <c r="C3042" s="297"/>
      <c r="D3042" s="297"/>
      <c r="E3042" s="297"/>
      <c r="F3042" s="273"/>
      <c r="G3042" s="273"/>
      <c r="H3042" s="273"/>
    </row>
    <row r="3043" spans="1:8" s="135" customFormat="1" ht="20.25" customHeight="1">
      <c r="A3043" s="273"/>
      <c r="B3043" s="297"/>
      <c r="C3043" s="297"/>
      <c r="D3043" s="297"/>
      <c r="E3043" s="297"/>
      <c r="F3043" s="273"/>
      <c r="G3043" s="273"/>
      <c r="H3043" s="273"/>
    </row>
    <row r="3044" spans="1:8" s="135" customFormat="1" ht="20.25" customHeight="1">
      <c r="A3044" s="273"/>
      <c r="B3044" s="297"/>
      <c r="C3044" s="297"/>
      <c r="D3044" s="297"/>
      <c r="E3044" s="297"/>
      <c r="F3044" s="273"/>
      <c r="G3044" s="273"/>
      <c r="H3044" s="273"/>
    </row>
    <row r="3045" spans="1:8" s="135" customFormat="1" ht="20.25" customHeight="1">
      <c r="A3045" s="273"/>
      <c r="B3045" s="297"/>
      <c r="C3045" s="297"/>
      <c r="D3045" s="297"/>
      <c r="E3045" s="297"/>
      <c r="F3045" s="273"/>
      <c r="G3045" s="273"/>
      <c r="H3045" s="273"/>
    </row>
    <row r="3046" spans="1:8" s="135" customFormat="1" ht="20.25" customHeight="1">
      <c r="A3046" s="273"/>
      <c r="B3046" s="297"/>
      <c r="C3046" s="297"/>
      <c r="D3046" s="297"/>
      <c r="E3046" s="297"/>
      <c r="F3046" s="273"/>
      <c r="G3046" s="273"/>
      <c r="H3046" s="273"/>
    </row>
    <row r="3047" spans="1:8" s="135" customFormat="1" ht="20.25" customHeight="1">
      <c r="A3047" s="273"/>
      <c r="B3047" s="297"/>
      <c r="C3047" s="297"/>
      <c r="D3047" s="297"/>
      <c r="E3047" s="297"/>
      <c r="F3047" s="273"/>
      <c r="G3047" s="273"/>
      <c r="H3047" s="273"/>
    </row>
    <row r="3048" spans="1:8" s="135" customFormat="1" ht="20.25" customHeight="1">
      <c r="A3048" s="273"/>
      <c r="B3048" s="297"/>
      <c r="C3048" s="297"/>
      <c r="D3048" s="297"/>
      <c r="E3048" s="297"/>
      <c r="F3048" s="273"/>
      <c r="G3048" s="273"/>
      <c r="H3048" s="273"/>
    </row>
    <row r="3049" spans="1:8" s="135" customFormat="1" ht="20.25" customHeight="1">
      <c r="A3049" s="273"/>
      <c r="B3049" s="297"/>
      <c r="C3049" s="297"/>
      <c r="D3049" s="297"/>
      <c r="E3049" s="297"/>
      <c r="F3049" s="273"/>
      <c r="G3049" s="273"/>
      <c r="H3049" s="273"/>
    </row>
    <row r="3050" spans="1:8" s="135" customFormat="1" ht="20.25" customHeight="1">
      <c r="A3050" s="273"/>
      <c r="B3050" s="297"/>
      <c r="C3050" s="297"/>
      <c r="D3050" s="297"/>
      <c r="E3050" s="297"/>
      <c r="F3050" s="273"/>
      <c r="G3050" s="273"/>
      <c r="H3050" s="273"/>
    </row>
    <row r="3051" spans="1:8" s="135" customFormat="1" ht="20.25" customHeight="1">
      <c r="A3051" s="273"/>
      <c r="B3051" s="297"/>
      <c r="C3051" s="297"/>
      <c r="D3051" s="297"/>
      <c r="E3051" s="297"/>
      <c r="F3051" s="273"/>
      <c r="G3051" s="273"/>
      <c r="H3051" s="273"/>
    </row>
    <row r="3052" spans="1:8" s="135" customFormat="1" ht="20.25" customHeight="1">
      <c r="A3052" s="273"/>
      <c r="B3052" s="297"/>
      <c r="C3052" s="297"/>
      <c r="D3052" s="297"/>
      <c r="E3052" s="297"/>
      <c r="F3052" s="273"/>
      <c r="G3052" s="273"/>
      <c r="H3052" s="273"/>
    </row>
    <row r="3053" spans="1:8" s="135" customFormat="1" ht="20.25" customHeight="1">
      <c r="A3053" s="273"/>
      <c r="B3053" s="297"/>
      <c r="C3053" s="297"/>
      <c r="D3053" s="297"/>
      <c r="E3053" s="297"/>
      <c r="F3053" s="273"/>
      <c r="G3053" s="273"/>
      <c r="H3053" s="273"/>
    </row>
    <row r="3054" spans="1:8" s="135" customFormat="1" ht="20.25" customHeight="1">
      <c r="A3054" s="273"/>
      <c r="B3054" s="297"/>
      <c r="C3054" s="297"/>
      <c r="D3054" s="297"/>
      <c r="E3054" s="297"/>
      <c r="F3054" s="273"/>
      <c r="G3054" s="273"/>
      <c r="H3054" s="273"/>
    </row>
    <row r="3055" spans="1:8" s="135" customFormat="1" ht="20.25" customHeight="1">
      <c r="A3055" s="273"/>
      <c r="B3055" s="297"/>
      <c r="C3055" s="297"/>
      <c r="D3055" s="297"/>
      <c r="E3055" s="297"/>
      <c r="F3055" s="273"/>
      <c r="G3055" s="273"/>
      <c r="H3055" s="273"/>
    </row>
    <row r="3056" spans="1:8" s="135" customFormat="1" ht="20.25" customHeight="1">
      <c r="A3056" s="273"/>
      <c r="B3056" s="297"/>
      <c r="C3056" s="297"/>
      <c r="D3056" s="297"/>
      <c r="E3056" s="297"/>
      <c r="F3056" s="273"/>
      <c r="G3056" s="273"/>
      <c r="H3056" s="273"/>
    </row>
    <row r="3057" spans="1:8" s="135" customFormat="1" ht="20.25" customHeight="1">
      <c r="A3057" s="273"/>
      <c r="B3057" s="297"/>
      <c r="C3057" s="297"/>
      <c r="D3057" s="297"/>
      <c r="E3057" s="297"/>
      <c r="F3057" s="273"/>
      <c r="G3057" s="273"/>
      <c r="H3057" s="273"/>
    </row>
    <row r="3058" spans="1:8" s="135" customFormat="1" ht="20.25" customHeight="1">
      <c r="A3058" s="273"/>
      <c r="B3058" s="297"/>
      <c r="C3058" s="297"/>
      <c r="D3058" s="297"/>
      <c r="E3058" s="297"/>
      <c r="F3058" s="273"/>
      <c r="G3058" s="273"/>
      <c r="H3058" s="273"/>
    </row>
    <row r="3059" spans="1:8" s="135" customFormat="1" ht="20.25" customHeight="1">
      <c r="A3059" s="273"/>
      <c r="B3059" s="297"/>
      <c r="C3059" s="297"/>
      <c r="D3059" s="297"/>
      <c r="E3059" s="297"/>
      <c r="F3059" s="273"/>
      <c r="G3059" s="273"/>
      <c r="H3059" s="273"/>
    </row>
    <row r="3060" spans="1:8" s="135" customFormat="1" ht="20.25" customHeight="1">
      <c r="A3060" s="273"/>
      <c r="B3060" s="297"/>
      <c r="C3060" s="297"/>
      <c r="D3060" s="297"/>
      <c r="E3060" s="297"/>
      <c r="F3060" s="273"/>
      <c r="G3060" s="273"/>
      <c r="H3060" s="273"/>
    </row>
    <row r="3061" spans="1:8" s="135" customFormat="1" ht="20.25" customHeight="1">
      <c r="A3061" s="273"/>
      <c r="B3061" s="297"/>
      <c r="C3061" s="297"/>
      <c r="D3061" s="297"/>
      <c r="E3061" s="297"/>
      <c r="F3061" s="273"/>
      <c r="G3061" s="273"/>
      <c r="H3061" s="273"/>
    </row>
    <row r="3062" spans="1:8" s="135" customFormat="1" ht="20.25" customHeight="1">
      <c r="A3062" s="273"/>
      <c r="B3062" s="297"/>
      <c r="C3062" s="297"/>
      <c r="D3062" s="297"/>
      <c r="E3062" s="297"/>
      <c r="F3062" s="273"/>
      <c r="G3062" s="273"/>
      <c r="H3062" s="273"/>
    </row>
    <row r="3063" spans="1:8" s="135" customFormat="1" ht="20.25" customHeight="1">
      <c r="A3063" s="273"/>
      <c r="B3063" s="297"/>
      <c r="C3063" s="297"/>
      <c r="D3063" s="297"/>
      <c r="E3063" s="297"/>
      <c r="F3063" s="273"/>
      <c r="G3063" s="273"/>
      <c r="H3063" s="273"/>
    </row>
    <row r="3064" spans="1:8" s="135" customFormat="1" ht="20.25" customHeight="1">
      <c r="A3064" s="273"/>
      <c r="B3064" s="297"/>
      <c r="C3064" s="297"/>
      <c r="D3064" s="297"/>
      <c r="E3064" s="297"/>
      <c r="F3064" s="273"/>
      <c r="G3064" s="273"/>
      <c r="H3064" s="273"/>
    </row>
    <row r="3065" spans="1:8" s="135" customFormat="1" ht="20.25" customHeight="1">
      <c r="A3065" s="273"/>
      <c r="B3065" s="297"/>
      <c r="C3065" s="297"/>
      <c r="D3065" s="297"/>
      <c r="E3065" s="297"/>
      <c r="F3065" s="273"/>
      <c r="G3065" s="273"/>
      <c r="H3065" s="273"/>
    </row>
    <row r="3066" spans="1:8" s="135" customFormat="1" ht="20.25" customHeight="1">
      <c r="A3066" s="273"/>
      <c r="B3066" s="297"/>
      <c r="C3066" s="297"/>
      <c r="D3066" s="297"/>
      <c r="E3066" s="297"/>
      <c r="F3066" s="273"/>
      <c r="G3066" s="273"/>
      <c r="H3066" s="273"/>
    </row>
    <row r="3067" spans="1:8" s="135" customFormat="1" ht="20.25" customHeight="1">
      <c r="A3067" s="273"/>
      <c r="B3067" s="297"/>
      <c r="C3067" s="297"/>
      <c r="D3067" s="297"/>
      <c r="E3067" s="297"/>
      <c r="F3067" s="273"/>
      <c r="G3067" s="273"/>
      <c r="H3067" s="273"/>
    </row>
    <row r="3068" spans="1:8" s="135" customFormat="1" ht="20.25" customHeight="1">
      <c r="A3068" s="273"/>
      <c r="B3068" s="297"/>
      <c r="C3068" s="297"/>
      <c r="D3068" s="297"/>
      <c r="E3068" s="297"/>
      <c r="F3068" s="273"/>
      <c r="G3068" s="273"/>
      <c r="H3068" s="273"/>
    </row>
    <row r="3069" spans="1:8" s="135" customFormat="1" ht="20.25" customHeight="1">
      <c r="A3069" s="273"/>
      <c r="B3069" s="297"/>
      <c r="C3069" s="297"/>
      <c r="D3069" s="297"/>
      <c r="E3069" s="297"/>
      <c r="F3069" s="273"/>
      <c r="G3069" s="273"/>
      <c r="H3069" s="273"/>
    </row>
    <row r="3070" spans="1:8" s="135" customFormat="1" ht="20.25" customHeight="1">
      <c r="A3070" s="273"/>
      <c r="B3070" s="297"/>
      <c r="C3070" s="297"/>
      <c r="D3070" s="297"/>
      <c r="E3070" s="297"/>
      <c r="F3070" s="273"/>
      <c r="G3070" s="273"/>
      <c r="H3070" s="273"/>
    </row>
    <row r="3071" spans="1:8" s="135" customFormat="1" ht="20.25" customHeight="1">
      <c r="A3071" s="273"/>
      <c r="B3071" s="297"/>
      <c r="C3071" s="297"/>
      <c r="D3071" s="297"/>
      <c r="E3071" s="297"/>
      <c r="F3071" s="273"/>
      <c r="G3071" s="273"/>
      <c r="H3071" s="273"/>
    </row>
    <row r="3072" spans="1:8" s="135" customFormat="1" ht="20.25" customHeight="1">
      <c r="A3072" s="273"/>
      <c r="B3072" s="297"/>
      <c r="C3072" s="297"/>
      <c r="D3072" s="297"/>
      <c r="E3072" s="297"/>
      <c r="F3072" s="273"/>
      <c r="G3072" s="273"/>
      <c r="H3072" s="273"/>
    </row>
    <row r="3073" spans="1:8" s="135" customFormat="1" ht="20.25" customHeight="1">
      <c r="A3073" s="273"/>
      <c r="B3073" s="297"/>
      <c r="C3073" s="297"/>
      <c r="D3073" s="297"/>
      <c r="E3073" s="297"/>
      <c r="F3073" s="273"/>
      <c r="G3073" s="273"/>
      <c r="H3073" s="273"/>
    </row>
    <row r="3074" spans="1:8" s="135" customFormat="1" ht="20.25" customHeight="1">
      <c r="A3074" s="273"/>
      <c r="B3074" s="297"/>
      <c r="C3074" s="297"/>
      <c r="D3074" s="297"/>
      <c r="E3074" s="297"/>
      <c r="F3074" s="273"/>
      <c r="G3074" s="273"/>
      <c r="H3074" s="273"/>
    </row>
    <row r="3075" spans="1:8" s="135" customFormat="1" ht="20.25" customHeight="1">
      <c r="A3075" s="273"/>
      <c r="B3075" s="297"/>
      <c r="C3075" s="297"/>
      <c r="D3075" s="297"/>
      <c r="E3075" s="297"/>
      <c r="F3075" s="273"/>
      <c r="G3075" s="273"/>
      <c r="H3075" s="273"/>
    </row>
    <row r="3076" spans="1:8" s="135" customFormat="1" ht="20.25" customHeight="1">
      <c r="A3076" s="273"/>
      <c r="B3076" s="297"/>
      <c r="C3076" s="297"/>
      <c r="D3076" s="297"/>
      <c r="E3076" s="297"/>
      <c r="F3076" s="273"/>
      <c r="G3076" s="273"/>
      <c r="H3076" s="273"/>
    </row>
    <row r="3077" spans="1:8" s="135" customFormat="1" ht="20.25" customHeight="1">
      <c r="A3077" s="273"/>
      <c r="B3077" s="297"/>
      <c r="C3077" s="297"/>
      <c r="D3077" s="297"/>
      <c r="E3077" s="297"/>
      <c r="F3077" s="273"/>
      <c r="G3077" s="273"/>
      <c r="H3077" s="273"/>
    </row>
    <row r="3078" spans="1:8" s="135" customFormat="1" ht="20.25" customHeight="1">
      <c r="A3078" s="273"/>
      <c r="B3078" s="297"/>
      <c r="C3078" s="297"/>
      <c r="D3078" s="297"/>
      <c r="E3078" s="297"/>
      <c r="F3078" s="273"/>
      <c r="G3078" s="273"/>
      <c r="H3078" s="273"/>
    </row>
    <row r="3079" spans="1:8" s="135" customFormat="1" ht="20.25" customHeight="1">
      <c r="A3079" s="273"/>
      <c r="B3079" s="297"/>
      <c r="C3079" s="297"/>
      <c r="D3079" s="297"/>
      <c r="E3079" s="297"/>
      <c r="F3079" s="273"/>
      <c r="G3079" s="273"/>
      <c r="H3079" s="273"/>
    </row>
    <row r="3080" spans="1:8" s="135" customFormat="1" ht="20.25" customHeight="1">
      <c r="A3080" s="273"/>
      <c r="B3080" s="297"/>
      <c r="C3080" s="297"/>
      <c r="D3080" s="297"/>
      <c r="E3080" s="297"/>
      <c r="F3080" s="273"/>
      <c r="G3080" s="273"/>
      <c r="H3080" s="273"/>
    </row>
    <row r="3081" spans="1:8" s="135" customFormat="1" ht="20.25" customHeight="1">
      <c r="A3081" s="273"/>
      <c r="B3081" s="297"/>
      <c r="C3081" s="297"/>
      <c r="D3081" s="297"/>
      <c r="E3081" s="297"/>
      <c r="F3081" s="273"/>
      <c r="G3081" s="273"/>
      <c r="H3081" s="273"/>
    </row>
    <row r="3082" spans="1:8" s="135" customFormat="1" ht="20.25" customHeight="1">
      <c r="A3082" s="273"/>
      <c r="B3082" s="297"/>
      <c r="C3082" s="297"/>
      <c r="D3082" s="297"/>
      <c r="E3082" s="297"/>
      <c r="F3082" s="273"/>
      <c r="G3082" s="273"/>
      <c r="H3082" s="273"/>
    </row>
    <row r="3083" spans="1:8" s="135" customFormat="1" ht="20.25" customHeight="1">
      <c r="A3083" s="273"/>
      <c r="B3083" s="297"/>
      <c r="C3083" s="297"/>
      <c r="D3083" s="297"/>
      <c r="E3083" s="297"/>
      <c r="F3083" s="273"/>
      <c r="G3083" s="273"/>
      <c r="H3083" s="273"/>
    </row>
    <row r="3084" spans="1:8" s="135" customFormat="1" ht="20.25" customHeight="1">
      <c r="A3084" s="273"/>
      <c r="B3084" s="297"/>
      <c r="C3084" s="297"/>
      <c r="D3084" s="297"/>
      <c r="E3084" s="297"/>
      <c r="F3084" s="273"/>
      <c r="G3084" s="273"/>
      <c r="H3084" s="273"/>
    </row>
    <row r="3085" spans="1:8" s="135" customFormat="1" ht="20.25" customHeight="1">
      <c r="A3085" s="273"/>
      <c r="B3085" s="297"/>
      <c r="C3085" s="297"/>
      <c r="D3085" s="297"/>
      <c r="E3085" s="297"/>
      <c r="F3085" s="273"/>
      <c r="G3085" s="273"/>
      <c r="H3085" s="273"/>
    </row>
    <row r="3086" spans="1:8" s="135" customFormat="1" ht="20.25" customHeight="1">
      <c r="A3086" s="273"/>
      <c r="B3086" s="297"/>
      <c r="C3086" s="297"/>
      <c r="D3086" s="297"/>
      <c r="E3086" s="297"/>
      <c r="F3086" s="273"/>
      <c r="G3086" s="273"/>
      <c r="H3086" s="273"/>
    </row>
    <row r="3087" spans="1:8" s="135" customFormat="1" ht="20.25" customHeight="1">
      <c r="A3087" s="273"/>
      <c r="B3087" s="297"/>
      <c r="C3087" s="297"/>
      <c r="D3087" s="297"/>
      <c r="E3087" s="297"/>
      <c r="F3087" s="273"/>
      <c r="G3087" s="273"/>
      <c r="H3087" s="273"/>
    </row>
    <row r="3088" spans="1:8" s="135" customFormat="1" ht="20.25" customHeight="1">
      <c r="A3088" s="273"/>
      <c r="B3088" s="297"/>
      <c r="C3088" s="297"/>
      <c r="D3088" s="297"/>
      <c r="E3088" s="297"/>
      <c r="F3088" s="273"/>
      <c r="G3088" s="273"/>
      <c r="H3088" s="273"/>
    </row>
    <row r="3089" spans="1:8" s="135" customFormat="1" ht="20.25" customHeight="1">
      <c r="A3089" s="273"/>
      <c r="B3089" s="297"/>
      <c r="C3089" s="297"/>
      <c r="D3089" s="297"/>
      <c r="E3089" s="297"/>
      <c r="F3089" s="273"/>
      <c r="G3089" s="273"/>
      <c r="H3089" s="273"/>
    </row>
    <row r="3090" spans="1:8" s="135" customFormat="1" ht="20.25" customHeight="1">
      <c r="A3090" s="273"/>
      <c r="B3090" s="297"/>
      <c r="C3090" s="297"/>
      <c r="D3090" s="297"/>
      <c r="E3090" s="297"/>
      <c r="F3090" s="273"/>
      <c r="G3090" s="273"/>
      <c r="H3090" s="273"/>
    </row>
    <row r="3091" spans="1:8" s="135" customFormat="1" ht="20.25" customHeight="1">
      <c r="A3091" s="273"/>
      <c r="B3091" s="297"/>
      <c r="C3091" s="297"/>
      <c r="D3091" s="297"/>
      <c r="E3091" s="297"/>
      <c r="F3091" s="273"/>
      <c r="G3091" s="273"/>
      <c r="H3091" s="273"/>
    </row>
    <row r="3092" spans="1:8" s="135" customFormat="1" ht="20.25" customHeight="1">
      <c r="A3092" s="273"/>
      <c r="B3092" s="297"/>
      <c r="C3092" s="297"/>
      <c r="D3092" s="297"/>
      <c r="E3092" s="297"/>
      <c r="F3092" s="273"/>
      <c r="G3092" s="273"/>
      <c r="H3092" s="273"/>
    </row>
    <row r="3093" spans="1:8" s="135" customFormat="1" ht="20.25" customHeight="1">
      <c r="A3093" s="273"/>
      <c r="B3093" s="297"/>
      <c r="C3093" s="297"/>
      <c r="D3093" s="297"/>
      <c r="E3093" s="297"/>
      <c r="F3093" s="273"/>
      <c r="G3093" s="273"/>
      <c r="H3093" s="273"/>
    </row>
    <row r="3094" spans="1:8" s="135" customFormat="1" ht="20.25" customHeight="1">
      <c r="A3094" s="273"/>
      <c r="B3094" s="297"/>
      <c r="C3094" s="297"/>
      <c r="D3094" s="297"/>
      <c r="E3094" s="297"/>
      <c r="F3094" s="273"/>
      <c r="G3094" s="273"/>
      <c r="H3094" s="273"/>
    </row>
    <row r="3095" spans="1:8" s="135" customFormat="1" ht="20.25" customHeight="1">
      <c r="A3095" s="273"/>
      <c r="B3095" s="297"/>
      <c r="C3095" s="297"/>
      <c r="D3095" s="297"/>
      <c r="E3095" s="297"/>
      <c r="F3095" s="273"/>
      <c r="G3095" s="273"/>
      <c r="H3095" s="273"/>
    </row>
    <row r="3096" spans="1:8" s="135" customFormat="1" ht="20.25" customHeight="1">
      <c r="A3096" s="273"/>
      <c r="B3096" s="297"/>
      <c r="C3096" s="297"/>
      <c r="D3096" s="297"/>
      <c r="E3096" s="297"/>
      <c r="F3096" s="273"/>
      <c r="G3096" s="273"/>
      <c r="H3096" s="273"/>
    </row>
    <row r="3097" spans="1:8" s="135" customFormat="1" ht="20.25" customHeight="1">
      <c r="A3097" s="273"/>
      <c r="B3097" s="297"/>
      <c r="C3097" s="297"/>
      <c r="D3097" s="297"/>
      <c r="E3097" s="297"/>
      <c r="F3097" s="273"/>
      <c r="G3097" s="273"/>
      <c r="H3097" s="273"/>
    </row>
    <row r="3098" spans="1:8" s="135" customFormat="1" ht="20.25" customHeight="1">
      <c r="A3098" s="273"/>
      <c r="B3098" s="297"/>
      <c r="C3098" s="297"/>
      <c r="D3098" s="297"/>
      <c r="E3098" s="297"/>
      <c r="F3098" s="273"/>
      <c r="G3098" s="273"/>
      <c r="H3098" s="273"/>
    </row>
    <row r="3099" spans="1:8" s="135" customFormat="1" ht="20.25" customHeight="1">
      <c r="A3099" s="273"/>
      <c r="B3099" s="297"/>
      <c r="C3099" s="297"/>
      <c r="D3099" s="297"/>
      <c r="E3099" s="297"/>
      <c r="F3099" s="273"/>
      <c r="G3099" s="273"/>
      <c r="H3099" s="273"/>
    </row>
    <row r="3100" spans="1:8" s="135" customFormat="1" ht="20.25" customHeight="1">
      <c r="A3100" s="273"/>
      <c r="B3100" s="297"/>
      <c r="C3100" s="297"/>
      <c r="D3100" s="297"/>
      <c r="E3100" s="297"/>
      <c r="F3100" s="273"/>
      <c r="G3100" s="273"/>
      <c r="H3100" s="273"/>
    </row>
    <row r="3101" spans="1:8" s="135" customFormat="1" ht="20.25" customHeight="1">
      <c r="A3101" s="273"/>
      <c r="B3101" s="297"/>
      <c r="C3101" s="297"/>
      <c r="D3101" s="297"/>
      <c r="E3101" s="297"/>
      <c r="F3101" s="273"/>
      <c r="G3101" s="273"/>
      <c r="H3101" s="273"/>
    </row>
    <row r="3102" spans="1:8" s="135" customFormat="1" ht="20.25" customHeight="1">
      <c r="A3102" s="273"/>
      <c r="B3102" s="297"/>
      <c r="C3102" s="297"/>
      <c r="D3102" s="297"/>
      <c r="E3102" s="297"/>
      <c r="F3102" s="273"/>
      <c r="G3102" s="273"/>
      <c r="H3102" s="273"/>
    </row>
    <row r="3103" spans="1:8" s="135" customFormat="1" ht="20.25" customHeight="1">
      <c r="A3103" s="273"/>
      <c r="B3103" s="297"/>
      <c r="C3103" s="297"/>
      <c r="D3103" s="297"/>
      <c r="E3103" s="297"/>
      <c r="F3103" s="273"/>
      <c r="G3103" s="273"/>
      <c r="H3103" s="273"/>
    </row>
    <row r="3104" spans="1:8" s="135" customFormat="1" ht="20.25" customHeight="1">
      <c r="A3104" s="273"/>
      <c r="B3104" s="297"/>
      <c r="C3104" s="297"/>
      <c r="D3104" s="297"/>
      <c r="E3104" s="297"/>
      <c r="F3104" s="273"/>
      <c r="G3104" s="273"/>
      <c r="H3104" s="273"/>
    </row>
    <row r="3105" spans="1:8" s="135" customFormat="1" ht="20.25" customHeight="1">
      <c r="A3105" s="273"/>
      <c r="B3105" s="297"/>
      <c r="C3105" s="297"/>
      <c r="D3105" s="297"/>
      <c r="E3105" s="297"/>
      <c r="F3105" s="273"/>
      <c r="G3105" s="273"/>
      <c r="H3105" s="273"/>
    </row>
    <row r="3106" spans="1:8" s="135" customFormat="1" ht="20.25" customHeight="1">
      <c r="A3106" s="273"/>
      <c r="B3106" s="297"/>
      <c r="C3106" s="297"/>
      <c r="D3106" s="297"/>
      <c r="E3106" s="297"/>
      <c r="F3106" s="273"/>
      <c r="G3106" s="273"/>
      <c r="H3106" s="273"/>
    </row>
    <row r="3107" spans="1:8" s="135" customFormat="1" ht="20.25" customHeight="1">
      <c r="A3107" s="273"/>
      <c r="B3107" s="297"/>
      <c r="C3107" s="297"/>
      <c r="D3107" s="297"/>
      <c r="E3107" s="297"/>
      <c r="F3107" s="273"/>
      <c r="G3107" s="273"/>
      <c r="H3107" s="273"/>
    </row>
    <row r="3108" spans="1:8" s="135" customFormat="1" ht="20.25" customHeight="1">
      <c r="A3108" s="273"/>
      <c r="B3108" s="297"/>
      <c r="C3108" s="297"/>
      <c r="D3108" s="297"/>
      <c r="E3108" s="297"/>
      <c r="F3108" s="273"/>
      <c r="G3108" s="273"/>
      <c r="H3108" s="273"/>
    </row>
    <row r="3109" spans="1:8" s="135" customFormat="1" ht="20.25" customHeight="1">
      <c r="A3109" s="273"/>
      <c r="B3109" s="297"/>
      <c r="C3109" s="297"/>
      <c r="D3109" s="297"/>
      <c r="E3109" s="297"/>
      <c r="F3109" s="273"/>
      <c r="G3109" s="273"/>
      <c r="H3109" s="273"/>
    </row>
    <row r="3110" spans="1:8" s="135" customFormat="1" ht="20.25" customHeight="1">
      <c r="A3110" s="273"/>
      <c r="B3110" s="297"/>
      <c r="C3110" s="297"/>
      <c r="D3110" s="297"/>
      <c r="E3110" s="297"/>
      <c r="F3110" s="273"/>
      <c r="G3110" s="273"/>
      <c r="H3110" s="273"/>
    </row>
    <row r="3111" spans="1:8" s="135" customFormat="1" ht="20.25" customHeight="1">
      <c r="A3111" s="273"/>
      <c r="B3111" s="297"/>
      <c r="C3111" s="297"/>
      <c r="D3111" s="297"/>
      <c r="E3111" s="297"/>
      <c r="F3111" s="273"/>
      <c r="G3111" s="273"/>
      <c r="H3111" s="273"/>
    </row>
    <row r="3112" spans="1:8" s="135" customFormat="1" ht="20.25" customHeight="1">
      <c r="A3112" s="273"/>
      <c r="B3112" s="297"/>
      <c r="C3112" s="297"/>
      <c r="D3112" s="297"/>
      <c r="E3112" s="297"/>
      <c r="F3112" s="273"/>
      <c r="G3112" s="273"/>
      <c r="H3112" s="273"/>
    </row>
    <row r="3113" spans="1:8" s="135" customFormat="1" ht="20.25" customHeight="1">
      <c r="A3113" s="273"/>
      <c r="B3113" s="297"/>
      <c r="C3113" s="297"/>
      <c r="D3113" s="297"/>
      <c r="E3113" s="297"/>
      <c r="F3113" s="273"/>
      <c r="G3113" s="273"/>
      <c r="H3113" s="273"/>
    </row>
    <row r="3114" spans="1:8" s="135" customFormat="1" ht="20.25" customHeight="1">
      <c r="A3114" s="273"/>
      <c r="B3114" s="297"/>
      <c r="C3114" s="297"/>
      <c r="D3114" s="297"/>
      <c r="E3114" s="297"/>
      <c r="F3114" s="273"/>
      <c r="G3114" s="273"/>
      <c r="H3114" s="273"/>
    </row>
    <row r="3115" spans="1:8" s="135" customFormat="1" ht="20.25" customHeight="1">
      <c r="A3115" s="273"/>
      <c r="B3115" s="297"/>
      <c r="C3115" s="297"/>
      <c r="D3115" s="297"/>
      <c r="E3115" s="297"/>
      <c r="F3115" s="273"/>
      <c r="G3115" s="273"/>
      <c r="H3115" s="273"/>
    </row>
    <row r="3116" spans="1:8" s="135" customFormat="1" ht="20.25" customHeight="1">
      <c r="A3116" s="273"/>
      <c r="B3116" s="297"/>
      <c r="C3116" s="297"/>
      <c r="D3116" s="297"/>
      <c r="E3116" s="297"/>
      <c r="F3116" s="273"/>
      <c r="G3116" s="273"/>
      <c r="H3116" s="273"/>
    </row>
    <row r="3117" spans="1:8" s="135" customFormat="1" ht="20.25" customHeight="1">
      <c r="A3117" s="273"/>
      <c r="B3117" s="297"/>
      <c r="C3117" s="297"/>
      <c r="D3117" s="297"/>
      <c r="E3117" s="297"/>
      <c r="F3117" s="273"/>
      <c r="G3117" s="273"/>
      <c r="H3117" s="273"/>
    </row>
    <row r="3118" spans="1:8" s="135" customFormat="1" ht="20.25" customHeight="1">
      <c r="A3118" s="273"/>
      <c r="B3118" s="297"/>
      <c r="C3118" s="297"/>
      <c r="D3118" s="297"/>
      <c r="E3118" s="297"/>
      <c r="F3118" s="273"/>
      <c r="G3118" s="273"/>
      <c r="H3118" s="273"/>
    </row>
    <row r="3119" spans="1:8" s="135" customFormat="1" ht="20.25" customHeight="1">
      <c r="A3119" s="273"/>
      <c r="B3119" s="297"/>
      <c r="C3119" s="297"/>
      <c r="D3119" s="297"/>
      <c r="E3119" s="297"/>
      <c r="F3119" s="273"/>
      <c r="G3119" s="273"/>
      <c r="H3119" s="273"/>
    </row>
    <row r="3120" spans="1:8" s="135" customFormat="1" ht="20.25" customHeight="1">
      <c r="A3120" s="273"/>
      <c r="B3120" s="297"/>
      <c r="C3120" s="297"/>
      <c r="D3120" s="297"/>
      <c r="E3120" s="297"/>
      <c r="F3120" s="273"/>
      <c r="G3120" s="273"/>
      <c r="H3120" s="273"/>
    </row>
    <row r="3121" spans="1:8" s="135" customFormat="1" ht="20.25" customHeight="1">
      <c r="A3121" s="273"/>
      <c r="B3121" s="297"/>
      <c r="C3121" s="297"/>
      <c r="D3121" s="297"/>
      <c r="E3121" s="297"/>
      <c r="F3121" s="273"/>
      <c r="G3121" s="273"/>
      <c r="H3121" s="273"/>
    </row>
    <row r="3122" spans="1:8" s="135" customFormat="1" ht="20.25" customHeight="1">
      <c r="A3122" s="273"/>
      <c r="B3122" s="297"/>
      <c r="C3122" s="297"/>
      <c r="D3122" s="297"/>
      <c r="E3122" s="297"/>
      <c r="F3122" s="273"/>
      <c r="G3122" s="273"/>
      <c r="H3122" s="273"/>
    </row>
    <row r="3123" spans="1:8" s="135" customFormat="1" ht="20.25" customHeight="1">
      <c r="A3123" s="273"/>
      <c r="B3123" s="297"/>
      <c r="C3123" s="297"/>
      <c r="D3123" s="297"/>
      <c r="E3123" s="297"/>
      <c r="F3123" s="273"/>
      <c r="G3123" s="273"/>
      <c r="H3123" s="273"/>
    </row>
    <row r="3124" spans="1:8" s="135" customFormat="1" ht="20.25" customHeight="1">
      <c r="A3124" s="273"/>
      <c r="B3124" s="297"/>
      <c r="C3124" s="297"/>
      <c r="D3124" s="297"/>
      <c r="E3124" s="297"/>
      <c r="F3124" s="273"/>
      <c r="G3124" s="273"/>
      <c r="H3124" s="273"/>
    </row>
    <row r="3125" spans="1:8" s="135" customFormat="1" ht="20.25" customHeight="1">
      <c r="A3125" s="273"/>
      <c r="B3125" s="297"/>
      <c r="C3125" s="297"/>
      <c r="D3125" s="297"/>
      <c r="E3125" s="297"/>
      <c r="F3125" s="273"/>
      <c r="G3125" s="273"/>
      <c r="H3125" s="273"/>
    </row>
    <row r="3126" spans="1:8" s="135" customFormat="1" ht="20.25" customHeight="1">
      <c r="A3126" s="273"/>
      <c r="B3126" s="297"/>
      <c r="C3126" s="297"/>
      <c r="D3126" s="297"/>
      <c r="E3126" s="297"/>
      <c r="F3126" s="273"/>
      <c r="G3126" s="273"/>
      <c r="H3126" s="273"/>
    </row>
    <row r="3127" spans="1:8" s="135" customFormat="1" ht="20.25" customHeight="1">
      <c r="A3127" s="273"/>
      <c r="B3127" s="297"/>
      <c r="C3127" s="297"/>
      <c r="D3127" s="297"/>
      <c r="E3127" s="297"/>
      <c r="F3127" s="273"/>
      <c r="G3127" s="273"/>
      <c r="H3127" s="273"/>
    </row>
    <row r="3128" spans="1:8" s="135" customFormat="1" ht="20.25" customHeight="1">
      <c r="A3128" s="273"/>
      <c r="B3128" s="297"/>
      <c r="C3128" s="297"/>
      <c r="D3128" s="297"/>
      <c r="E3128" s="297"/>
      <c r="F3128" s="273"/>
      <c r="G3128" s="273"/>
      <c r="H3128" s="273"/>
    </row>
    <row r="3129" spans="1:8" s="135" customFormat="1" ht="20.25" customHeight="1">
      <c r="A3129" s="273"/>
      <c r="B3129" s="297"/>
      <c r="C3129" s="297"/>
      <c r="D3129" s="297"/>
      <c r="E3129" s="297"/>
      <c r="F3129" s="273"/>
      <c r="G3129" s="273"/>
      <c r="H3129" s="273"/>
    </row>
    <row r="3130" spans="1:8" s="135" customFormat="1" ht="20.25" customHeight="1">
      <c r="A3130" s="273"/>
      <c r="B3130" s="297"/>
      <c r="C3130" s="297"/>
      <c r="D3130" s="297"/>
      <c r="E3130" s="297"/>
      <c r="F3130" s="273"/>
      <c r="G3130" s="273"/>
      <c r="H3130" s="273"/>
    </row>
    <row r="3131" spans="1:8" s="135" customFormat="1" ht="20.25" customHeight="1">
      <c r="A3131" s="273"/>
      <c r="B3131" s="297"/>
      <c r="C3131" s="297"/>
      <c r="D3131" s="297"/>
      <c r="E3131" s="297"/>
      <c r="F3131" s="273"/>
      <c r="G3131" s="273"/>
      <c r="H3131" s="273"/>
    </row>
    <row r="3132" spans="1:8" s="135" customFormat="1" ht="20.25" customHeight="1">
      <c r="A3132" s="273"/>
      <c r="B3132" s="297"/>
      <c r="C3132" s="297"/>
      <c r="D3132" s="297"/>
      <c r="E3132" s="297"/>
      <c r="F3132" s="273"/>
      <c r="G3132" s="273"/>
      <c r="H3132" s="273"/>
    </row>
    <row r="3133" spans="1:8" s="135" customFormat="1" ht="20.25" customHeight="1">
      <c r="A3133" s="273"/>
      <c r="B3133" s="297"/>
      <c r="C3133" s="297"/>
      <c r="D3133" s="297"/>
      <c r="E3133" s="297"/>
      <c r="F3133" s="273"/>
      <c r="G3133" s="273"/>
      <c r="H3133" s="273"/>
    </row>
    <row r="3134" spans="1:8" s="135" customFormat="1" ht="20.25" customHeight="1">
      <c r="A3134" s="273"/>
      <c r="B3134" s="297"/>
      <c r="C3134" s="297"/>
      <c r="D3134" s="297"/>
      <c r="E3134" s="297"/>
      <c r="F3134" s="273"/>
      <c r="G3134" s="273"/>
      <c r="H3134" s="273"/>
    </row>
    <row r="3135" spans="1:8" s="135" customFormat="1" ht="20.25" customHeight="1">
      <c r="A3135" s="273"/>
      <c r="B3135" s="297"/>
      <c r="C3135" s="297"/>
      <c r="D3135" s="297"/>
      <c r="E3135" s="297"/>
      <c r="F3135" s="273"/>
      <c r="G3135" s="273"/>
      <c r="H3135" s="273"/>
    </row>
    <row r="3136" spans="1:8" s="135" customFormat="1" ht="20.25" customHeight="1">
      <c r="A3136" s="273"/>
      <c r="B3136" s="297"/>
      <c r="C3136" s="297"/>
      <c r="D3136" s="297"/>
      <c r="E3136" s="297"/>
      <c r="F3136" s="273"/>
      <c r="G3136" s="273"/>
      <c r="H3136" s="273"/>
    </row>
    <row r="3137" spans="1:8" s="135" customFormat="1" ht="20.25" customHeight="1">
      <c r="A3137" s="273"/>
      <c r="B3137" s="297"/>
      <c r="C3137" s="297"/>
      <c r="D3137" s="297"/>
      <c r="E3137" s="297"/>
      <c r="F3137" s="273"/>
      <c r="G3137" s="273"/>
      <c r="H3137" s="273"/>
    </row>
    <row r="3138" spans="1:8" s="135" customFormat="1" ht="20.25" customHeight="1">
      <c r="A3138" s="273"/>
      <c r="B3138" s="297"/>
      <c r="C3138" s="297"/>
      <c r="D3138" s="297"/>
      <c r="E3138" s="297"/>
      <c r="F3138" s="273"/>
      <c r="G3138" s="273"/>
      <c r="H3138" s="273"/>
    </row>
    <row r="3139" spans="1:8" s="135" customFormat="1" ht="20.25" customHeight="1">
      <c r="A3139" s="273"/>
      <c r="B3139" s="297"/>
      <c r="C3139" s="297"/>
      <c r="D3139" s="297"/>
      <c r="E3139" s="297"/>
      <c r="F3139" s="273"/>
      <c r="G3139" s="273"/>
      <c r="H3139" s="273"/>
    </row>
    <row r="3140" spans="1:8" s="135" customFormat="1" ht="20.25" customHeight="1">
      <c r="A3140" s="273"/>
      <c r="B3140" s="297"/>
      <c r="C3140" s="297"/>
      <c r="D3140" s="297"/>
      <c r="E3140" s="297"/>
      <c r="F3140" s="273"/>
      <c r="G3140" s="273"/>
      <c r="H3140" s="273"/>
    </row>
    <row r="3141" spans="1:8" s="135" customFormat="1" ht="20.25" customHeight="1">
      <c r="A3141" s="273"/>
      <c r="B3141" s="297"/>
      <c r="C3141" s="297"/>
      <c r="D3141" s="297"/>
      <c r="E3141" s="297"/>
      <c r="F3141" s="273"/>
      <c r="G3141" s="273"/>
      <c r="H3141" s="273"/>
    </row>
    <row r="3142" spans="1:8" s="135" customFormat="1" ht="20.25" customHeight="1">
      <c r="A3142" s="273"/>
      <c r="B3142" s="297"/>
      <c r="C3142" s="297"/>
      <c r="D3142" s="297"/>
      <c r="E3142" s="297"/>
      <c r="F3142" s="273"/>
      <c r="G3142" s="273"/>
      <c r="H3142" s="273"/>
    </row>
    <row r="3143" spans="1:8" s="135" customFormat="1" ht="20.25" customHeight="1">
      <c r="A3143" s="273"/>
      <c r="B3143" s="297"/>
      <c r="C3143" s="297"/>
      <c r="D3143" s="297"/>
      <c r="E3143" s="297"/>
      <c r="F3143" s="273"/>
      <c r="G3143" s="273"/>
      <c r="H3143" s="273"/>
    </row>
    <row r="3144" spans="1:8" s="135" customFormat="1" ht="20.25" customHeight="1">
      <c r="A3144" s="273"/>
      <c r="B3144" s="297"/>
      <c r="C3144" s="297"/>
      <c r="D3144" s="297"/>
      <c r="E3144" s="297"/>
      <c r="F3144" s="273"/>
      <c r="G3144" s="273"/>
      <c r="H3144" s="273"/>
    </row>
    <row r="3145" spans="1:8" s="135" customFormat="1" ht="20.25" customHeight="1">
      <c r="A3145" s="273"/>
      <c r="B3145" s="297"/>
      <c r="C3145" s="297"/>
      <c r="D3145" s="297"/>
      <c r="E3145" s="297"/>
      <c r="F3145" s="273"/>
      <c r="G3145" s="273"/>
      <c r="H3145" s="273"/>
    </row>
    <row r="3146" spans="1:8" s="135" customFormat="1" ht="20.25" customHeight="1">
      <c r="A3146" s="273"/>
      <c r="B3146" s="297"/>
      <c r="C3146" s="297"/>
      <c r="D3146" s="297"/>
      <c r="E3146" s="297"/>
      <c r="F3146" s="273"/>
      <c r="G3146" s="273"/>
      <c r="H3146" s="273"/>
    </row>
    <row r="3147" spans="1:8" s="135" customFormat="1" ht="20.25" customHeight="1">
      <c r="A3147" s="273"/>
      <c r="B3147" s="297"/>
      <c r="C3147" s="297"/>
      <c r="D3147" s="297"/>
      <c r="E3147" s="297"/>
      <c r="F3147" s="273"/>
      <c r="G3147" s="273"/>
      <c r="H3147" s="273"/>
    </row>
    <row r="3148" spans="1:8" s="135" customFormat="1" ht="20.25" customHeight="1">
      <c r="A3148" s="273"/>
      <c r="B3148" s="297"/>
      <c r="C3148" s="297"/>
      <c r="D3148" s="297"/>
      <c r="E3148" s="297"/>
      <c r="F3148" s="273"/>
      <c r="G3148" s="273"/>
      <c r="H3148" s="273"/>
    </row>
    <row r="3149" spans="1:8" s="135" customFormat="1" ht="20.25" customHeight="1">
      <c r="A3149" s="273"/>
      <c r="B3149" s="297"/>
      <c r="C3149" s="297"/>
      <c r="D3149" s="297"/>
      <c r="E3149" s="297"/>
      <c r="F3149" s="273"/>
      <c r="G3149" s="273"/>
      <c r="H3149" s="273"/>
    </row>
    <row r="3150" spans="1:8" s="135" customFormat="1" ht="20.25" customHeight="1">
      <c r="A3150" s="273"/>
      <c r="B3150" s="297"/>
      <c r="C3150" s="297"/>
      <c r="D3150" s="297"/>
      <c r="E3150" s="297"/>
      <c r="F3150" s="273"/>
      <c r="G3150" s="273"/>
      <c r="H3150" s="273"/>
    </row>
    <row r="3151" spans="1:8" s="135" customFormat="1" ht="20.25" customHeight="1">
      <c r="A3151" s="273"/>
      <c r="B3151" s="297"/>
      <c r="C3151" s="297"/>
      <c r="D3151" s="297"/>
      <c r="E3151" s="297"/>
      <c r="F3151" s="273"/>
      <c r="G3151" s="273"/>
      <c r="H3151" s="273"/>
    </row>
    <row r="3152" spans="1:8" s="135" customFormat="1" ht="20.25" customHeight="1">
      <c r="A3152" s="273"/>
      <c r="B3152" s="297"/>
      <c r="C3152" s="297"/>
      <c r="D3152" s="297"/>
      <c r="E3152" s="297"/>
      <c r="F3152" s="273"/>
      <c r="G3152" s="273"/>
      <c r="H3152" s="273"/>
    </row>
    <row r="3153" spans="1:8" s="135" customFormat="1" ht="20.25" customHeight="1">
      <c r="A3153" s="273"/>
      <c r="B3153" s="297"/>
      <c r="C3153" s="297"/>
      <c r="D3153" s="297"/>
      <c r="E3153" s="297"/>
      <c r="F3153" s="273"/>
      <c r="G3153" s="273"/>
      <c r="H3153" s="273"/>
    </row>
    <row r="3154" spans="1:8" s="135" customFormat="1" ht="20.25" customHeight="1">
      <c r="A3154" s="273"/>
      <c r="B3154" s="297"/>
      <c r="C3154" s="297"/>
      <c r="D3154" s="297"/>
      <c r="E3154" s="297"/>
      <c r="F3154" s="273"/>
      <c r="G3154" s="273"/>
      <c r="H3154" s="273"/>
    </row>
    <row r="3155" spans="1:8" s="135" customFormat="1" ht="20.25" customHeight="1">
      <c r="A3155" s="273"/>
      <c r="B3155" s="297"/>
      <c r="C3155" s="297"/>
      <c r="D3155" s="297"/>
      <c r="E3155" s="297"/>
      <c r="F3155" s="273"/>
      <c r="G3155" s="273"/>
      <c r="H3155" s="273"/>
    </row>
    <row r="3156" spans="1:8" s="135" customFormat="1" ht="20.25" customHeight="1">
      <c r="A3156" s="273"/>
      <c r="B3156" s="297"/>
      <c r="C3156" s="297"/>
      <c r="D3156" s="297"/>
      <c r="E3156" s="297"/>
      <c r="F3156" s="273"/>
      <c r="G3156" s="273"/>
      <c r="H3156" s="273"/>
    </row>
    <row r="3157" spans="1:8" s="135" customFormat="1" ht="20.25" customHeight="1">
      <c r="A3157" s="273"/>
      <c r="B3157" s="297"/>
      <c r="C3157" s="297"/>
      <c r="D3157" s="297"/>
      <c r="E3157" s="297"/>
      <c r="F3157" s="273"/>
      <c r="G3157" s="273"/>
      <c r="H3157" s="273"/>
    </row>
    <row r="3158" spans="1:8" s="135" customFormat="1" ht="20.25" customHeight="1">
      <c r="A3158" s="273"/>
      <c r="B3158" s="297"/>
      <c r="C3158" s="297"/>
      <c r="D3158" s="297"/>
      <c r="E3158" s="297"/>
      <c r="F3158" s="273"/>
      <c r="G3158" s="273"/>
      <c r="H3158" s="273"/>
    </row>
    <row r="3159" spans="1:8" s="135" customFormat="1" ht="20.25" customHeight="1">
      <c r="A3159" s="273"/>
      <c r="B3159" s="297"/>
      <c r="C3159" s="297"/>
      <c r="D3159" s="297"/>
      <c r="E3159" s="297"/>
      <c r="F3159" s="273"/>
      <c r="G3159" s="273"/>
      <c r="H3159" s="273"/>
    </row>
    <row r="3160" spans="1:8" s="135" customFormat="1" ht="20.25" customHeight="1">
      <c r="A3160" s="273"/>
      <c r="B3160" s="297"/>
      <c r="C3160" s="297"/>
      <c r="D3160" s="297"/>
      <c r="E3160" s="297"/>
      <c r="F3160" s="273"/>
      <c r="G3160" s="273"/>
      <c r="H3160" s="273"/>
    </row>
    <row r="3161" spans="1:8" s="135" customFormat="1" ht="20.25" customHeight="1">
      <c r="A3161" s="273"/>
      <c r="B3161" s="297"/>
      <c r="C3161" s="297"/>
      <c r="D3161" s="297"/>
      <c r="E3161" s="297"/>
      <c r="F3161" s="273"/>
      <c r="G3161" s="273"/>
      <c r="H3161" s="273"/>
    </row>
    <row r="3162" spans="1:8" s="135" customFormat="1" ht="20.25" customHeight="1">
      <c r="A3162" s="273"/>
      <c r="B3162" s="297"/>
      <c r="C3162" s="297"/>
      <c r="D3162" s="297"/>
      <c r="E3162" s="297"/>
      <c r="F3162" s="273"/>
      <c r="G3162" s="273"/>
      <c r="H3162" s="273"/>
    </row>
    <row r="3163" spans="1:8" s="135" customFormat="1" ht="20.25" customHeight="1">
      <c r="A3163" s="273"/>
      <c r="B3163" s="297"/>
      <c r="C3163" s="297"/>
      <c r="D3163" s="297"/>
      <c r="E3163" s="297"/>
      <c r="F3163" s="273"/>
      <c r="G3163" s="273"/>
      <c r="H3163" s="273"/>
    </row>
    <row r="3164" spans="1:8" s="135" customFormat="1" ht="20.25" customHeight="1">
      <c r="A3164" s="273"/>
      <c r="B3164" s="297"/>
      <c r="C3164" s="297"/>
      <c r="D3164" s="297"/>
      <c r="E3164" s="297"/>
      <c r="F3164" s="273"/>
      <c r="G3164" s="273"/>
      <c r="H3164" s="273"/>
    </row>
    <row r="3165" spans="1:8" s="135" customFormat="1" ht="20.25" customHeight="1">
      <c r="A3165" s="273"/>
      <c r="B3165" s="297"/>
      <c r="C3165" s="297"/>
      <c r="D3165" s="297"/>
      <c r="E3165" s="297"/>
      <c r="F3165" s="273"/>
      <c r="G3165" s="273"/>
      <c r="H3165" s="273"/>
    </row>
    <row r="3166" spans="1:8" s="135" customFormat="1" ht="20.25" customHeight="1">
      <c r="A3166" s="273"/>
      <c r="B3166" s="297"/>
      <c r="C3166" s="297"/>
      <c r="D3166" s="297"/>
      <c r="E3166" s="297"/>
      <c r="F3166" s="273"/>
      <c r="G3166" s="273"/>
      <c r="H3166" s="273"/>
    </row>
    <row r="3167" spans="1:8" s="135" customFormat="1" ht="20.25" customHeight="1">
      <c r="A3167" s="273"/>
      <c r="B3167" s="297"/>
      <c r="C3167" s="297"/>
      <c r="D3167" s="297"/>
      <c r="E3167" s="297"/>
      <c r="F3167" s="273"/>
      <c r="G3167" s="273"/>
      <c r="H3167" s="273"/>
    </row>
    <row r="3168" spans="1:8" s="135" customFormat="1" ht="20.25" customHeight="1">
      <c r="A3168" s="273"/>
      <c r="B3168" s="297"/>
      <c r="C3168" s="297"/>
      <c r="D3168" s="297"/>
      <c r="E3168" s="297"/>
      <c r="F3168" s="273"/>
      <c r="G3168" s="273"/>
      <c r="H3168" s="273"/>
    </row>
    <row r="3169" spans="1:8" s="135" customFormat="1" ht="20.25" customHeight="1">
      <c r="A3169" s="273"/>
      <c r="B3169" s="297"/>
      <c r="C3169" s="297"/>
      <c r="D3169" s="297"/>
      <c r="E3169" s="297"/>
      <c r="F3169" s="273"/>
      <c r="G3169" s="273"/>
      <c r="H3169" s="273"/>
    </row>
    <row r="3170" spans="1:8" s="135" customFormat="1" ht="20.25" customHeight="1">
      <c r="A3170" s="273"/>
      <c r="B3170" s="297"/>
      <c r="C3170" s="297"/>
      <c r="D3170" s="297"/>
      <c r="E3170" s="297"/>
      <c r="F3170" s="273"/>
      <c r="G3170" s="273"/>
      <c r="H3170" s="273"/>
    </row>
    <row r="3171" spans="1:8" s="135" customFormat="1" ht="20.25" customHeight="1">
      <c r="A3171" s="273"/>
      <c r="B3171" s="297"/>
      <c r="C3171" s="297"/>
      <c r="D3171" s="297"/>
      <c r="E3171" s="297"/>
      <c r="F3171" s="273"/>
      <c r="G3171" s="273"/>
      <c r="H3171" s="273"/>
    </row>
    <row r="3172" spans="1:8" s="135" customFormat="1" ht="20.25" customHeight="1">
      <c r="A3172" s="273"/>
      <c r="B3172" s="297"/>
      <c r="C3172" s="297"/>
      <c r="D3172" s="297"/>
      <c r="E3172" s="297"/>
      <c r="F3172" s="273"/>
      <c r="G3172" s="273"/>
      <c r="H3172" s="273"/>
    </row>
    <row r="3173" spans="1:8" s="135" customFormat="1" ht="20.25" customHeight="1">
      <c r="A3173" s="273"/>
      <c r="B3173" s="297"/>
      <c r="C3173" s="297"/>
      <c r="D3173" s="297"/>
      <c r="E3173" s="297"/>
      <c r="F3173" s="273"/>
      <c r="G3173" s="273"/>
      <c r="H3173" s="273"/>
    </row>
    <row r="3174" spans="1:8" s="135" customFormat="1" ht="20.25" customHeight="1">
      <c r="A3174" s="273"/>
      <c r="B3174" s="297"/>
      <c r="C3174" s="297"/>
      <c r="D3174" s="297"/>
      <c r="E3174" s="297"/>
      <c r="F3174" s="273"/>
      <c r="G3174" s="273"/>
      <c r="H3174" s="273"/>
    </row>
    <row r="3175" spans="1:8" s="135" customFormat="1" ht="20.25" customHeight="1">
      <c r="A3175" s="273"/>
      <c r="B3175" s="297"/>
      <c r="C3175" s="297"/>
      <c r="D3175" s="297"/>
      <c r="E3175" s="297"/>
      <c r="F3175" s="273"/>
      <c r="G3175" s="273"/>
      <c r="H3175" s="273"/>
    </row>
    <row r="3176" spans="1:8" s="135" customFormat="1" ht="20.25" customHeight="1">
      <c r="A3176" s="273"/>
      <c r="B3176" s="297"/>
      <c r="C3176" s="297"/>
      <c r="D3176" s="297"/>
      <c r="E3176" s="297"/>
      <c r="F3176" s="273"/>
      <c r="G3176" s="273"/>
      <c r="H3176" s="273"/>
    </row>
    <row r="3177" spans="1:8" s="135" customFormat="1" ht="20.25" customHeight="1">
      <c r="A3177" s="273"/>
      <c r="B3177" s="297"/>
      <c r="C3177" s="297"/>
      <c r="D3177" s="297"/>
      <c r="E3177" s="297"/>
      <c r="F3177" s="273"/>
      <c r="G3177" s="273"/>
      <c r="H3177" s="273"/>
    </row>
    <row r="3178" spans="1:8" s="135" customFormat="1" ht="20.25" customHeight="1">
      <c r="A3178" s="273"/>
      <c r="B3178" s="297"/>
      <c r="C3178" s="297"/>
      <c r="D3178" s="297"/>
      <c r="E3178" s="297"/>
      <c r="F3178" s="273"/>
      <c r="G3178" s="273"/>
      <c r="H3178" s="273"/>
    </row>
    <row r="3179" spans="1:8" s="135" customFormat="1" ht="20.25" customHeight="1">
      <c r="A3179" s="273"/>
      <c r="B3179" s="297"/>
      <c r="C3179" s="297"/>
      <c r="D3179" s="297"/>
      <c r="E3179" s="297"/>
      <c r="F3179" s="273"/>
      <c r="G3179" s="273"/>
      <c r="H3179" s="273"/>
    </row>
    <row r="3180" spans="1:8" s="135" customFormat="1" ht="20.25" customHeight="1">
      <c r="A3180" s="273"/>
      <c r="B3180" s="297"/>
      <c r="C3180" s="297"/>
      <c r="D3180" s="297"/>
      <c r="E3180" s="297"/>
      <c r="F3180" s="273"/>
      <c r="G3180" s="273"/>
      <c r="H3180" s="273"/>
    </row>
    <row r="3181" spans="1:8" s="135" customFormat="1" ht="20.25" customHeight="1">
      <c r="A3181" s="273"/>
      <c r="B3181" s="297"/>
      <c r="C3181" s="297"/>
      <c r="D3181" s="297"/>
      <c r="E3181" s="297"/>
      <c r="F3181" s="273"/>
      <c r="G3181" s="273"/>
      <c r="H3181" s="273"/>
    </row>
    <row r="3182" spans="1:8" s="135" customFormat="1" ht="20.25" customHeight="1">
      <c r="A3182" s="273"/>
      <c r="B3182" s="297"/>
      <c r="C3182" s="297"/>
      <c r="D3182" s="297"/>
      <c r="E3182" s="297"/>
      <c r="F3182" s="273"/>
      <c r="G3182" s="273"/>
      <c r="H3182" s="273"/>
    </row>
    <row r="3183" spans="1:8" s="135" customFormat="1" ht="20.25" customHeight="1">
      <c r="A3183" s="273"/>
      <c r="B3183" s="297"/>
      <c r="C3183" s="297"/>
      <c r="D3183" s="297"/>
      <c r="E3183" s="297"/>
      <c r="F3183" s="273"/>
      <c r="G3183" s="273"/>
      <c r="H3183" s="273"/>
    </row>
    <row r="3184" spans="1:8" s="135" customFormat="1" ht="20.25" customHeight="1">
      <c r="A3184" s="273"/>
      <c r="B3184" s="297"/>
      <c r="C3184" s="297"/>
      <c r="D3184" s="297"/>
      <c r="E3184" s="297"/>
      <c r="F3184" s="273"/>
      <c r="G3184" s="273"/>
      <c r="H3184" s="273"/>
    </row>
    <row r="3185" spans="1:8" s="135" customFormat="1" ht="20.25" customHeight="1">
      <c r="A3185" s="273"/>
      <c r="B3185" s="297"/>
      <c r="C3185" s="297"/>
      <c r="D3185" s="297"/>
      <c r="E3185" s="297"/>
      <c r="F3185" s="273"/>
      <c r="G3185" s="273"/>
      <c r="H3185" s="273"/>
    </row>
    <row r="3186" spans="1:8" s="135" customFormat="1" ht="20.25" customHeight="1">
      <c r="A3186" s="273"/>
      <c r="B3186" s="297"/>
      <c r="C3186" s="297"/>
      <c r="D3186" s="297"/>
      <c r="E3186" s="297"/>
      <c r="F3186" s="273"/>
      <c r="G3186" s="273"/>
      <c r="H3186" s="273"/>
    </row>
    <row r="3187" spans="1:8" s="135" customFormat="1" ht="20.25" customHeight="1">
      <c r="A3187" s="273"/>
      <c r="B3187" s="297"/>
      <c r="C3187" s="297"/>
      <c r="D3187" s="297"/>
      <c r="E3187" s="297"/>
      <c r="F3187" s="273"/>
      <c r="G3187" s="273"/>
      <c r="H3187" s="273"/>
    </row>
    <row r="3188" spans="1:8" s="135" customFormat="1" ht="20.25" customHeight="1">
      <c r="A3188" s="273"/>
      <c r="B3188" s="297"/>
      <c r="C3188" s="297"/>
      <c r="D3188" s="297"/>
      <c r="E3188" s="297"/>
      <c r="F3188" s="273"/>
      <c r="G3188" s="273"/>
      <c r="H3188" s="273"/>
    </row>
    <row r="3189" spans="1:8" s="135" customFormat="1" ht="20.25" customHeight="1">
      <c r="A3189" s="273"/>
      <c r="B3189" s="297"/>
      <c r="C3189" s="297"/>
      <c r="D3189" s="297"/>
      <c r="E3189" s="297"/>
      <c r="F3189" s="273"/>
      <c r="G3189" s="273"/>
      <c r="H3189" s="273"/>
    </row>
    <row r="3190" spans="1:8" s="135" customFormat="1" ht="20.25" customHeight="1">
      <c r="A3190" s="273"/>
      <c r="B3190" s="297"/>
      <c r="C3190" s="297"/>
      <c r="D3190" s="297"/>
      <c r="E3190" s="297"/>
      <c r="F3190" s="273"/>
      <c r="G3190" s="273"/>
      <c r="H3190" s="273"/>
    </row>
    <row r="3191" spans="1:8" s="135" customFormat="1" ht="20.25" customHeight="1">
      <c r="A3191" s="273"/>
      <c r="B3191" s="297"/>
      <c r="C3191" s="297"/>
      <c r="D3191" s="297"/>
      <c r="E3191" s="297"/>
      <c r="F3191" s="273"/>
      <c r="G3191" s="273"/>
      <c r="H3191" s="273"/>
    </row>
    <row r="3192" spans="1:8" s="135" customFormat="1" ht="20.25" customHeight="1">
      <c r="A3192" s="273"/>
      <c r="B3192" s="297"/>
      <c r="C3192" s="297"/>
      <c r="D3192" s="297"/>
      <c r="E3192" s="297"/>
      <c r="F3192" s="273"/>
      <c r="G3192" s="273"/>
      <c r="H3192" s="273"/>
    </row>
    <row r="3193" spans="1:8" s="135" customFormat="1" ht="20.25" customHeight="1">
      <c r="A3193" s="273"/>
      <c r="B3193" s="297"/>
      <c r="C3193" s="297"/>
      <c r="D3193" s="297"/>
      <c r="E3193" s="297"/>
      <c r="F3193" s="273"/>
      <c r="G3193" s="273"/>
      <c r="H3193" s="273"/>
    </row>
    <row r="3194" spans="1:8" s="135" customFormat="1" ht="20.25" customHeight="1">
      <c r="A3194" s="273"/>
      <c r="B3194" s="297"/>
      <c r="C3194" s="297"/>
      <c r="D3194" s="297"/>
      <c r="E3194" s="297"/>
      <c r="F3194" s="273"/>
      <c r="G3194" s="273"/>
      <c r="H3194" s="273"/>
    </row>
    <row r="3195" spans="1:8" s="135" customFormat="1" ht="20.25" customHeight="1">
      <c r="A3195" s="273"/>
      <c r="B3195" s="297"/>
      <c r="C3195" s="297"/>
      <c r="D3195" s="297"/>
      <c r="E3195" s="297"/>
      <c r="F3195" s="273"/>
      <c r="G3195" s="273"/>
      <c r="H3195" s="273"/>
    </row>
    <row r="3196" spans="1:8" s="135" customFormat="1" ht="20.25" customHeight="1">
      <c r="A3196" s="273"/>
      <c r="B3196" s="297"/>
      <c r="C3196" s="297"/>
      <c r="D3196" s="297"/>
      <c r="E3196" s="297"/>
      <c r="F3196" s="273"/>
      <c r="G3196" s="273"/>
      <c r="H3196" s="273"/>
    </row>
    <row r="3197" spans="1:8" s="135" customFormat="1" ht="20.25" customHeight="1">
      <c r="A3197" s="273"/>
      <c r="B3197" s="297"/>
      <c r="C3197" s="297"/>
      <c r="D3197" s="297"/>
      <c r="E3197" s="297"/>
      <c r="F3197" s="273"/>
      <c r="G3197" s="273"/>
      <c r="H3197" s="273"/>
    </row>
    <row r="3198" spans="1:8" s="135" customFormat="1" ht="20.25" customHeight="1">
      <c r="A3198" s="273"/>
      <c r="B3198" s="297"/>
      <c r="C3198" s="297"/>
      <c r="D3198" s="297"/>
      <c r="E3198" s="297"/>
      <c r="F3198" s="273"/>
      <c r="G3198" s="273"/>
      <c r="H3198" s="273"/>
    </row>
    <row r="3199" spans="1:8" s="135" customFormat="1" ht="20.25" customHeight="1">
      <c r="A3199" s="273"/>
      <c r="B3199" s="297"/>
      <c r="C3199" s="297"/>
      <c r="D3199" s="297"/>
      <c r="E3199" s="297"/>
      <c r="F3199" s="273"/>
      <c r="G3199" s="273"/>
      <c r="H3199" s="273"/>
    </row>
    <row r="3200" spans="1:8" s="135" customFormat="1" ht="20.25" customHeight="1">
      <c r="A3200" s="273"/>
      <c r="B3200" s="297"/>
      <c r="C3200" s="297"/>
      <c r="D3200" s="297"/>
      <c r="E3200" s="297"/>
      <c r="F3200" s="273"/>
      <c r="G3200" s="273"/>
      <c r="H3200" s="273"/>
    </row>
    <row r="3201" spans="1:8" s="135" customFormat="1" ht="20.25" customHeight="1">
      <c r="A3201" s="273"/>
      <c r="B3201" s="297"/>
      <c r="C3201" s="297"/>
      <c r="D3201" s="297"/>
      <c r="E3201" s="297"/>
      <c r="F3201" s="273"/>
      <c r="G3201" s="273"/>
      <c r="H3201" s="273"/>
    </row>
    <row r="3202" spans="1:8" s="135" customFormat="1" ht="20.25" customHeight="1">
      <c r="A3202" s="273"/>
      <c r="B3202" s="297"/>
      <c r="C3202" s="297"/>
      <c r="D3202" s="297"/>
      <c r="E3202" s="297"/>
      <c r="F3202" s="273"/>
      <c r="G3202" s="273"/>
      <c r="H3202" s="273"/>
    </row>
    <row r="3203" spans="1:8" s="135" customFormat="1" ht="20.25" customHeight="1">
      <c r="A3203" s="273"/>
      <c r="B3203" s="297"/>
      <c r="C3203" s="297"/>
      <c r="D3203" s="297"/>
      <c r="E3203" s="297"/>
      <c r="F3203" s="273"/>
      <c r="G3203" s="273"/>
      <c r="H3203" s="273"/>
    </row>
    <row r="3204" spans="1:8" s="135" customFormat="1" ht="20.25" customHeight="1">
      <c r="A3204" s="273"/>
      <c r="B3204" s="297"/>
      <c r="C3204" s="297"/>
      <c r="D3204" s="297"/>
      <c r="E3204" s="297"/>
      <c r="F3204" s="273"/>
      <c r="G3204" s="273"/>
      <c r="H3204" s="273"/>
    </row>
    <row r="3205" spans="1:8" s="135" customFormat="1" ht="20.25" customHeight="1">
      <c r="A3205" s="273"/>
      <c r="B3205" s="297"/>
      <c r="C3205" s="297"/>
      <c r="D3205" s="297"/>
      <c r="E3205" s="297"/>
      <c r="F3205" s="273"/>
      <c r="G3205" s="273"/>
      <c r="H3205" s="273"/>
    </row>
    <row r="3206" spans="1:8" s="135" customFormat="1" ht="20.25" customHeight="1">
      <c r="A3206" s="273"/>
      <c r="B3206" s="297"/>
      <c r="C3206" s="297"/>
      <c r="D3206" s="297"/>
      <c r="E3206" s="297"/>
      <c r="F3206" s="273"/>
      <c r="G3206" s="273"/>
      <c r="H3206" s="273"/>
    </row>
    <row r="3207" spans="1:8" s="135" customFormat="1" ht="20.25" customHeight="1">
      <c r="A3207" s="273"/>
      <c r="B3207" s="297"/>
      <c r="C3207" s="297"/>
      <c r="D3207" s="297"/>
      <c r="E3207" s="297"/>
      <c r="F3207" s="273"/>
      <c r="G3207" s="273"/>
      <c r="H3207" s="273"/>
    </row>
    <row r="3208" spans="1:8" s="135" customFormat="1" ht="20.25" customHeight="1">
      <c r="A3208" s="273"/>
      <c r="B3208" s="297"/>
      <c r="C3208" s="297"/>
      <c r="D3208" s="297"/>
      <c r="E3208" s="297"/>
      <c r="F3208" s="273"/>
      <c r="G3208" s="273"/>
      <c r="H3208" s="273"/>
    </row>
    <row r="3209" spans="1:8" s="135" customFormat="1" ht="20.25" customHeight="1">
      <c r="A3209" s="273"/>
      <c r="B3209" s="297"/>
      <c r="C3209" s="297"/>
      <c r="D3209" s="297"/>
      <c r="E3209" s="297"/>
      <c r="F3209" s="273"/>
      <c r="G3209" s="273"/>
      <c r="H3209" s="273"/>
    </row>
    <row r="3210" spans="1:8" s="135" customFormat="1" ht="20.25" customHeight="1">
      <c r="A3210" s="273"/>
      <c r="B3210" s="297"/>
      <c r="C3210" s="297"/>
      <c r="D3210" s="297"/>
      <c r="E3210" s="297"/>
      <c r="F3210" s="273"/>
      <c r="G3210" s="273"/>
      <c r="H3210" s="273"/>
    </row>
    <row r="3211" spans="1:8" s="135" customFormat="1" ht="20.25" customHeight="1">
      <c r="A3211" s="273"/>
      <c r="B3211" s="297"/>
      <c r="C3211" s="297"/>
      <c r="D3211" s="297"/>
      <c r="E3211" s="297"/>
      <c r="F3211" s="273"/>
      <c r="G3211" s="273"/>
      <c r="H3211" s="273"/>
    </row>
    <row r="3212" spans="1:8" s="135" customFormat="1" ht="20.25" customHeight="1">
      <c r="A3212" s="273"/>
      <c r="B3212" s="297"/>
      <c r="C3212" s="297"/>
      <c r="D3212" s="297"/>
      <c r="E3212" s="297"/>
      <c r="F3212" s="273"/>
      <c r="G3212" s="273"/>
      <c r="H3212" s="273"/>
    </row>
    <row r="3213" spans="1:8" s="135" customFormat="1" ht="20.25" customHeight="1">
      <c r="A3213" s="273"/>
      <c r="B3213" s="297"/>
      <c r="C3213" s="297"/>
      <c r="D3213" s="297"/>
      <c r="E3213" s="297"/>
      <c r="F3213" s="273"/>
      <c r="G3213" s="273"/>
      <c r="H3213" s="273"/>
    </row>
    <row r="3214" spans="1:9" s="135" customFormat="1" ht="20.25" customHeight="1">
      <c r="A3214" s="273"/>
      <c r="B3214" s="273"/>
      <c r="C3214" s="273"/>
      <c r="D3214" s="273"/>
      <c r="E3214" s="273"/>
      <c r="F3214" s="273"/>
      <c r="G3214" s="273"/>
      <c r="H3214" s="273"/>
      <c r="I3214" s="273"/>
    </row>
    <row r="3215" spans="1:9" ht="12.75">
      <c r="A3215" s="273"/>
      <c r="B3215" s="273"/>
      <c r="C3215" s="273"/>
      <c r="D3215" s="273"/>
      <c r="E3215" s="273"/>
      <c r="F3215" s="273"/>
      <c r="G3215" s="273"/>
      <c r="H3215" s="273"/>
      <c r="I3215" s="273"/>
    </row>
    <row r="3216" spans="1:9" ht="12.75">
      <c r="A3216" s="273"/>
      <c r="B3216" s="273"/>
      <c r="C3216" s="273"/>
      <c r="D3216" s="273"/>
      <c r="E3216" s="273"/>
      <c r="F3216" s="273"/>
      <c r="G3216" s="273"/>
      <c r="H3216" s="273"/>
      <c r="I3216" s="273"/>
    </row>
    <row r="3217" spans="1:9" ht="12.75">
      <c r="A3217" s="273"/>
      <c r="B3217" s="273"/>
      <c r="C3217" s="273"/>
      <c r="D3217" s="273"/>
      <c r="E3217" s="273"/>
      <c r="F3217" s="273"/>
      <c r="G3217" s="273"/>
      <c r="H3217" s="273"/>
      <c r="I3217" s="273"/>
    </row>
    <row r="3218" spans="1:9" ht="18">
      <c r="A3218" s="273"/>
      <c r="B3218" s="273"/>
      <c r="C3218" s="273"/>
      <c r="D3218" s="273"/>
      <c r="E3218" s="273"/>
      <c r="F3218" s="273"/>
      <c r="G3218" s="273"/>
      <c r="H3218" s="273"/>
      <c r="I3218" s="272"/>
    </row>
  </sheetData>
  <sheetProtection/>
  <mergeCells count="1542">
    <mergeCell ref="B75:G76"/>
    <mergeCell ref="H75:H76"/>
    <mergeCell ref="B1200:I1200"/>
    <mergeCell ref="B1201:I1201"/>
    <mergeCell ref="B1048:D1048"/>
    <mergeCell ref="E925:G925"/>
    <mergeCell ref="B1043:D1043"/>
    <mergeCell ref="B1044:D1044"/>
    <mergeCell ref="B1045:D1045"/>
    <mergeCell ref="B1037:D1037"/>
    <mergeCell ref="B1203:I1203"/>
    <mergeCell ref="A1202:I1202"/>
    <mergeCell ref="B1624:C1624"/>
    <mergeCell ref="B1625:C1625"/>
    <mergeCell ref="A1249:I1249"/>
    <mergeCell ref="B1323:I1323"/>
    <mergeCell ref="B1324:I1324"/>
    <mergeCell ref="A1325:I1325"/>
    <mergeCell ref="A1254:A1255"/>
    <mergeCell ref="B1521:C1522"/>
    <mergeCell ref="B1626:C1626"/>
    <mergeCell ref="A1628:I1628"/>
    <mergeCell ref="A1651:I1651"/>
    <mergeCell ref="A1650:I1650"/>
    <mergeCell ref="A1644:I1644"/>
    <mergeCell ref="A1649:I1649"/>
    <mergeCell ref="A1645:I1645"/>
    <mergeCell ref="A1874:A1875"/>
    <mergeCell ref="B1874:C1875"/>
    <mergeCell ref="G1874:H1874"/>
    <mergeCell ref="D1872:F1872"/>
    <mergeCell ref="B1813:E1813"/>
    <mergeCell ref="A1765:I1765"/>
    <mergeCell ref="A1766:I1766"/>
    <mergeCell ref="A2655:I2655"/>
    <mergeCell ref="A2463:I2463"/>
    <mergeCell ref="A2509:I2509"/>
    <mergeCell ref="B2654:I2654"/>
    <mergeCell ref="B2481:G2481"/>
    <mergeCell ref="A2487:I2487"/>
    <mergeCell ref="B2494:C2494"/>
    <mergeCell ref="B2465:D2465"/>
    <mergeCell ref="A2505:I2505"/>
    <mergeCell ref="A2506:I2506"/>
    <mergeCell ref="B1883:C1883"/>
    <mergeCell ref="A1867:I1867"/>
    <mergeCell ref="A1869:I1869"/>
    <mergeCell ref="A1868:I1868"/>
    <mergeCell ref="B1884:C1884"/>
    <mergeCell ref="B1760:C1760"/>
    <mergeCell ref="B1777:C1777"/>
    <mergeCell ref="A1784:I1784"/>
    <mergeCell ref="B1775:C1775"/>
    <mergeCell ref="B1880:C1880"/>
    <mergeCell ref="D2490:F2490"/>
    <mergeCell ref="B2492:C2493"/>
    <mergeCell ref="G2492:H2492"/>
    <mergeCell ref="B2021:C2022"/>
    <mergeCell ref="G2021:H2021"/>
    <mergeCell ref="A2242:I2242"/>
    <mergeCell ref="B2062:E2062"/>
    <mergeCell ref="B2112:G2112"/>
    <mergeCell ref="B1038:D1038"/>
    <mergeCell ref="B1039:D1039"/>
    <mergeCell ref="B1034:D1034"/>
    <mergeCell ref="B1035:D1035"/>
    <mergeCell ref="A1646:I1646"/>
    <mergeCell ref="B2475:E2475"/>
    <mergeCell ref="A1767:I1767"/>
    <mergeCell ref="B1885:C1885"/>
    <mergeCell ref="A1744:I1744"/>
    <mergeCell ref="A1745:I1745"/>
    <mergeCell ref="B1046:D1046"/>
    <mergeCell ref="B1047:D1047"/>
    <mergeCell ref="B1019:D1019"/>
    <mergeCell ref="B1020:D1020"/>
    <mergeCell ref="B1024:D1024"/>
    <mergeCell ref="B1025:D1025"/>
    <mergeCell ref="B1026:D1026"/>
    <mergeCell ref="B1029:D1029"/>
    <mergeCell ref="B1031:D1031"/>
    <mergeCell ref="B1032:D1032"/>
    <mergeCell ref="B1033:D1033"/>
    <mergeCell ref="B996:D996"/>
    <mergeCell ref="B997:D997"/>
    <mergeCell ref="B1022:D1022"/>
    <mergeCell ref="B1028:D1028"/>
    <mergeCell ref="B998:D998"/>
    <mergeCell ref="B999:D999"/>
    <mergeCell ref="B1007:D1007"/>
    <mergeCell ref="B1008:D1008"/>
    <mergeCell ref="B1009:D1009"/>
    <mergeCell ref="B1011:D1011"/>
    <mergeCell ref="B989:D989"/>
    <mergeCell ref="B988:D988"/>
    <mergeCell ref="B994:D994"/>
    <mergeCell ref="B995:D995"/>
    <mergeCell ref="B990:D990"/>
    <mergeCell ref="B991:D991"/>
    <mergeCell ref="B992:D992"/>
    <mergeCell ref="B993:D993"/>
    <mergeCell ref="B1010:D1010"/>
    <mergeCell ref="B987:D987"/>
    <mergeCell ref="B980:D980"/>
    <mergeCell ref="B981:D981"/>
    <mergeCell ref="B982:D982"/>
    <mergeCell ref="B983:D983"/>
    <mergeCell ref="B984:D984"/>
    <mergeCell ref="B986:D986"/>
    <mergeCell ref="B985:D985"/>
    <mergeCell ref="B1014:D1014"/>
    <mergeCell ref="B1016:D1016"/>
    <mergeCell ref="B1021:D1021"/>
    <mergeCell ref="B1012:D1012"/>
    <mergeCell ref="B1013:D1013"/>
    <mergeCell ref="B1017:D1017"/>
    <mergeCell ref="B1018:D1018"/>
    <mergeCell ref="B1015:D1015"/>
    <mergeCell ref="B974:D974"/>
    <mergeCell ref="B975:D975"/>
    <mergeCell ref="B968:D968"/>
    <mergeCell ref="B970:D970"/>
    <mergeCell ref="B976:D976"/>
    <mergeCell ref="B969:D969"/>
    <mergeCell ref="B971:D971"/>
    <mergeCell ref="B972:D972"/>
    <mergeCell ref="B973:D973"/>
    <mergeCell ref="B958:D958"/>
    <mergeCell ref="B957:D957"/>
    <mergeCell ref="B950:D950"/>
    <mergeCell ref="B952:D952"/>
    <mergeCell ref="B966:D966"/>
    <mergeCell ref="B967:D967"/>
    <mergeCell ref="B1776:C1776"/>
    <mergeCell ref="A1707:I1707"/>
    <mergeCell ref="A1786:I1786"/>
    <mergeCell ref="A1787:I1787"/>
    <mergeCell ref="B943:D943"/>
    <mergeCell ref="B944:D944"/>
    <mergeCell ref="B961:D961"/>
    <mergeCell ref="B954:D954"/>
    <mergeCell ref="B960:D960"/>
    <mergeCell ref="B959:D959"/>
    <mergeCell ref="B2137:C2137"/>
    <mergeCell ref="B2136:C2136"/>
    <mergeCell ref="B2120:C2121"/>
    <mergeCell ref="B2135:C2135"/>
    <mergeCell ref="A1326:I1326"/>
    <mergeCell ref="B1881:C1881"/>
    <mergeCell ref="A1789:I1789"/>
    <mergeCell ref="A1783:I1783"/>
    <mergeCell ref="B1877:C1877"/>
    <mergeCell ref="B1800:D1800"/>
    <mergeCell ref="B2023:C2023"/>
    <mergeCell ref="A2008:I2008"/>
    <mergeCell ref="A2013:I2013"/>
    <mergeCell ref="A2014:I2014"/>
    <mergeCell ref="A2017:I2017"/>
    <mergeCell ref="A2016:I2016"/>
    <mergeCell ref="A2010:I2010"/>
    <mergeCell ref="A2011:I2011"/>
    <mergeCell ref="A2012:I2012"/>
    <mergeCell ref="B2015:I2015"/>
    <mergeCell ref="B2024:C2024"/>
    <mergeCell ref="B2025:C2025"/>
    <mergeCell ref="B2026:C2026"/>
    <mergeCell ref="B2027:C2027"/>
    <mergeCell ref="B2028:C2028"/>
    <mergeCell ref="B2029:C2029"/>
    <mergeCell ref="G2132:H2132"/>
    <mergeCell ref="A2034:I2034"/>
    <mergeCell ref="A2035:I2035"/>
    <mergeCell ref="A2036:I2036"/>
    <mergeCell ref="A2037:I2037"/>
    <mergeCell ref="B2031:I2031"/>
    <mergeCell ref="A2032:I2032"/>
    <mergeCell ref="A2116:I2116"/>
    <mergeCell ref="D2118:F2118"/>
    <mergeCell ref="A2120:A2121"/>
    <mergeCell ref="A1891:I1891"/>
    <mergeCell ref="D2019:F2019"/>
    <mergeCell ref="B2006:C2006"/>
    <mergeCell ref="B2002:C2002"/>
    <mergeCell ref="B1901:C1901"/>
    <mergeCell ref="B1902:C1902"/>
    <mergeCell ref="D2130:F2130"/>
    <mergeCell ref="B2132:C2133"/>
    <mergeCell ref="B2159:E2159"/>
    <mergeCell ref="B2139:C2139"/>
    <mergeCell ref="A2033:I2033"/>
    <mergeCell ref="B2124:C2124"/>
    <mergeCell ref="B2134:C2134"/>
    <mergeCell ref="A2038:I2038"/>
    <mergeCell ref="G2120:H2120"/>
    <mergeCell ref="B2050:D2050"/>
    <mergeCell ref="A2009:I2009"/>
    <mergeCell ref="B2005:C2005"/>
    <mergeCell ref="B2003:C2003"/>
    <mergeCell ref="B2004:C2004"/>
    <mergeCell ref="B2138:C2138"/>
    <mergeCell ref="A2177:I2177"/>
    <mergeCell ref="B2123:C2123"/>
    <mergeCell ref="B2125:C2125"/>
    <mergeCell ref="A2127:I2127"/>
    <mergeCell ref="A2128:I2128"/>
    <mergeCell ref="B1782:I1782"/>
    <mergeCell ref="A1785:I1785"/>
    <mergeCell ref="B1774:C1774"/>
    <mergeCell ref="B1870:I1870"/>
    <mergeCell ref="A1896:I1896"/>
    <mergeCell ref="A1888:I1888"/>
    <mergeCell ref="A1889:I1889"/>
    <mergeCell ref="B1895:I1895"/>
    <mergeCell ref="A1894:I1894"/>
    <mergeCell ref="A1890:I1890"/>
    <mergeCell ref="B1878:C1878"/>
    <mergeCell ref="B1879:C1879"/>
    <mergeCell ref="A1893:I1893"/>
    <mergeCell ref="A1892:I1892"/>
    <mergeCell ref="D1897:F1897"/>
    <mergeCell ref="G1772:H1772"/>
    <mergeCell ref="A1788:I1788"/>
    <mergeCell ref="B1778:C1778"/>
    <mergeCell ref="B1779:C1779"/>
    <mergeCell ref="B1780:C1780"/>
    <mergeCell ref="A1543:I1543"/>
    <mergeCell ref="A1541:I1541"/>
    <mergeCell ref="A1542:I1542"/>
    <mergeCell ref="A1544:I1544"/>
    <mergeCell ref="B1523:C1523"/>
    <mergeCell ref="G1521:H1521"/>
    <mergeCell ref="B1529:C1529"/>
    <mergeCell ref="B1527:C1527"/>
    <mergeCell ref="B1528:C1528"/>
    <mergeCell ref="B1525:C1525"/>
    <mergeCell ref="A1615:H1615"/>
    <mergeCell ref="G1622:H1622"/>
    <mergeCell ref="B1622:C1623"/>
    <mergeCell ref="B1618:I1618"/>
    <mergeCell ref="D1620:F1620"/>
    <mergeCell ref="A1622:A1623"/>
    <mergeCell ref="A1619:I1619"/>
    <mergeCell ref="B1696:I1696"/>
    <mergeCell ref="B1686:C1687"/>
    <mergeCell ref="B1689:C1689"/>
    <mergeCell ref="B1690:C1690"/>
    <mergeCell ref="B1692:C1692"/>
    <mergeCell ref="B1693:C1693"/>
    <mergeCell ref="B1694:C1694"/>
    <mergeCell ref="G1686:H1686"/>
    <mergeCell ref="B1691:C1691"/>
    <mergeCell ref="A1540:I1540"/>
    <mergeCell ref="A1534:I1534"/>
    <mergeCell ref="A1697:I1697"/>
    <mergeCell ref="B1757:C1757"/>
    <mergeCell ref="B1755:C1755"/>
    <mergeCell ref="B1754:C1754"/>
    <mergeCell ref="B1756:C1756"/>
    <mergeCell ref="D1748:F1748"/>
    <mergeCell ref="A1701:I1701"/>
    <mergeCell ref="A1699:I1699"/>
    <mergeCell ref="B1506:C1506"/>
    <mergeCell ref="A1515:I1515"/>
    <mergeCell ref="A1513:I1513"/>
    <mergeCell ref="A1514:I1514"/>
    <mergeCell ref="A1512:I1512"/>
    <mergeCell ref="A1539:I1539"/>
    <mergeCell ref="A1533:I1533"/>
    <mergeCell ref="B1526:C1526"/>
    <mergeCell ref="B1524:C1524"/>
    <mergeCell ref="A1482:I1482"/>
    <mergeCell ref="G1502:H1502"/>
    <mergeCell ref="B1502:C1503"/>
    <mergeCell ref="A1483:I1483"/>
    <mergeCell ref="B1494:I1494"/>
    <mergeCell ref="A1495:I1495"/>
    <mergeCell ref="B1446:C1446"/>
    <mergeCell ref="B1460:C1460"/>
    <mergeCell ref="A1471:I1471"/>
    <mergeCell ref="A1472:I1472"/>
    <mergeCell ref="A1496:I1496"/>
    <mergeCell ref="A1502:A1503"/>
    <mergeCell ref="A1497:I1497"/>
    <mergeCell ref="B1498:I1498"/>
    <mergeCell ref="D1500:F1500"/>
    <mergeCell ref="A1473:I1473"/>
    <mergeCell ref="A1477:I1477"/>
    <mergeCell ref="A1470:I1470"/>
    <mergeCell ref="A1476:I1476"/>
    <mergeCell ref="B1447:C1447"/>
    <mergeCell ref="B1448:C1448"/>
    <mergeCell ref="A1450:I1450"/>
    <mergeCell ref="B1478:D1478"/>
    <mergeCell ref="A1535:I1535"/>
    <mergeCell ref="A1536:I1536"/>
    <mergeCell ref="A1537:I1537"/>
    <mergeCell ref="A1518:I1518"/>
    <mergeCell ref="B1508:C1508"/>
    <mergeCell ref="B1507:C1507"/>
    <mergeCell ref="D1519:F1519"/>
    <mergeCell ref="B1505:C1505"/>
    <mergeCell ref="B1490:G1490"/>
    <mergeCell ref="B1458:C1459"/>
    <mergeCell ref="A1469:I1469"/>
    <mergeCell ref="G1458:H1458"/>
    <mergeCell ref="A1451:I1451"/>
    <mergeCell ref="A1452:I1452"/>
    <mergeCell ref="D1456:F1456"/>
    <mergeCell ref="A1538:I1538"/>
    <mergeCell ref="B1461:C1461"/>
    <mergeCell ref="B1462:C1462"/>
    <mergeCell ref="B1463:C1463"/>
    <mergeCell ref="B1464:C1464"/>
    <mergeCell ref="A1474:I1474"/>
    <mergeCell ref="A1475:I1475"/>
    <mergeCell ref="B1465:C1465"/>
    <mergeCell ref="B1466:C1466"/>
    <mergeCell ref="B1468:I1468"/>
    <mergeCell ref="B1381:C1381"/>
    <mergeCell ref="B1439:C1439"/>
    <mergeCell ref="B1409:E1409"/>
    <mergeCell ref="A1427:E1427"/>
    <mergeCell ref="B1430:I1430"/>
    <mergeCell ref="B1434:I1434"/>
    <mergeCell ref="D1435:F1435"/>
    <mergeCell ref="A1437:A1438"/>
    <mergeCell ref="A1388:I1388"/>
    <mergeCell ref="B1444:C1444"/>
    <mergeCell ref="B1443:C1443"/>
    <mergeCell ref="A1454:I1454"/>
    <mergeCell ref="A1455:I1455"/>
    <mergeCell ref="A1453:I1453"/>
    <mergeCell ref="B1442:C1442"/>
    <mergeCell ref="B1445:C1445"/>
    <mergeCell ref="B1440:C1440"/>
    <mergeCell ref="B1441:C1441"/>
    <mergeCell ref="B1297:E1297"/>
    <mergeCell ref="B1437:C1438"/>
    <mergeCell ref="G1437:H1437"/>
    <mergeCell ref="B1382:C1382"/>
    <mergeCell ref="A1431:I1431"/>
    <mergeCell ref="A1432:I1432"/>
    <mergeCell ref="A1433:I1433"/>
    <mergeCell ref="A1386:I1386"/>
    <mergeCell ref="B1395:D1395"/>
    <mergeCell ref="A1387:I1387"/>
    <mergeCell ref="A1340:I1340"/>
    <mergeCell ref="A1367:E1367"/>
    <mergeCell ref="B1337:C1337"/>
    <mergeCell ref="A1265:I1265"/>
    <mergeCell ref="A1310:I1310"/>
    <mergeCell ref="G1272:H1272"/>
    <mergeCell ref="B1274:C1274"/>
    <mergeCell ref="B1275:C1275"/>
    <mergeCell ref="A1306:E1306"/>
    <mergeCell ref="A1295:I1295"/>
    <mergeCell ref="B1376:C1377"/>
    <mergeCell ref="G1376:H1376"/>
    <mergeCell ref="B1354:E1354"/>
    <mergeCell ref="B1333:C1333"/>
    <mergeCell ref="B1345:D1345"/>
    <mergeCell ref="B1334:C1334"/>
    <mergeCell ref="B1335:C1335"/>
    <mergeCell ref="B1338:C1338"/>
    <mergeCell ref="A1342:I1342"/>
    <mergeCell ref="A1341:I1341"/>
    <mergeCell ref="A1292:D1292"/>
    <mergeCell ref="B1336:C1336"/>
    <mergeCell ref="B1332:C1332"/>
    <mergeCell ref="A1389:I1389"/>
    <mergeCell ref="B1379:C1379"/>
    <mergeCell ref="A1343:I1343"/>
    <mergeCell ref="B1383:C1383"/>
    <mergeCell ref="B1378:C1378"/>
    <mergeCell ref="A1373:I1373"/>
    <mergeCell ref="B1380:C1380"/>
    <mergeCell ref="A1093:I1093"/>
    <mergeCell ref="A1087:I1087"/>
    <mergeCell ref="A1088:I1088"/>
    <mergeCell ref="A1089:I1089"/>
    <mergeCell ref="A1090:I1090"/>
    <mergeCell ref="B1371:I1371"/>
    <mergeCell ref="A1289:I1289"/>
    <mergeCell ref="A1290:I1290"/>
    <mergeCell ref="A1291:I1291"/>
    <mergeCell ref="A1312:I1312"/>
    <mergeCell ref="A1190:I1190"/>
    <mergeCell ref="G1330:H1330"/>
    <mergeCell ref="B1317:C1318"/>
    <mergeCell ref="G1317:H1317"/>
    <mergeCell ref="B1309:I1309"/>
    <mergeCell ref="B1330:C1331"/>
    <mergeCell ref="D1328:F1328"/>
    <mergeCell ref="A1285:I1285"/>
    <mergeCell ref="A1286:I1286"/>
    <mergeCell ref="A1206:I1206"/>
    <mergeCell ref="B1135:C1135"/>
    <mergeCell ref="B1136:C1136"/>
    <mergeCell ref="B1134:C1134"/>
    <mergeCell ref="A1083:I1083"/>
    <mergeCell ref="A1084:I1084"/>
    <mergeCell ref="A1085:I1085"/>
    <mergeCell ref="A1086:I1086"/>
    <mergeCell ref="A1131:A1132"/>
    <mergeCell ref="A1091:I1091"/>
    <mergeCell ref="A1092:I1092"/>
    <mergeCell ref="B1138:C1138"/>
    <mergeCell ref="D1154:F1154"/>
    <mergeCell ref="B1154:C1154"/>
    <mergeCell ref="B1096:D1096"/>
    <mergeCell ref="B1105:E1105"/>
    <mergeCell ref="A1127:I1127"/>
    <mergeCell ref="D1152:F1152"/>
    <mergeCell ref="A1121:E1121"/>
    <mergeCell ref="B1124:I1124"/>
    <mergeCell ref="G1131:H1131"/>
    <mergeCell ref="A1125:I1125"/>
    <mergeCell ref="D1130:F1130"/>
    <mergeCell ref="B1131:C1132"/>
    <mergeCell ref="D1153:F1153"/>
    <mergeCell ref="B1153:C1153"/>
    <mergeCell ref="A1126:I1126"/>
    <mergeCell ref="B1152:C1152"/>
    <mergeCell ref="B1137:C1137"/>
    <mergeCell ref="B1128:I1128"/>
    <mergeCell ref="B1133:C1133"/>
    <mergeCell ref="B1074:C1074"/>
    <mergeCell ref="B1076:C1076"/>
    <mergeCell ref="B1077:C1077"/>
    <mergeCell ref="A1082:I1082"/>
    <mergeCell ref="B1079:I1079"/>
    <mergeCell ref="A1080:I1080"/>
    <mergeCell ref="A1081:I1081"/>
    <mergeCell ref="H927:I927"/>
    <mergeCell ref="B928:D928"/>
    <mergeCell ref="B931:D931"/>
    <mergeCell ref="B932:D932"/>
    <mergeCell ref="B930:D930"/>
    <mergeCell ref="B929:D929"/>
    <mergeCell ref="B1071:C1071"/>
    <mergeCell ref="B1072:C1072"/>
    <mergeCell ref="B1073:C1073"/>
    <mergeCell ref="B949:D949"/>
    <mergeCell ref="B955:D955"/>
    <mergeCell ref="B956:D956"/>
    <mergeCell ref="B963:D963"/>
    <mergeCell ref="B964:D964"/>
    <mergeCell ref="B965:D965"/>
    <mergeCell ref="B1050:I1050"/>
    <mergeCell ref="A761:I761"/>
    <mergeCell ref="B750:C750"/>
    <mergeCell ref="A840:I840"/>
    <mergeCell ref="B833:C833"/>
    <mergeCell ref="B835:C835"/>
    <mergeCell ref="B838:C838"/>
    <mergeCell ref="B837:C837"/>
    <mergeCell ref="B836:C836"/>
    <mergeCell ref="B834:C834"/>
    <mergeCell ref="B810:C810"/>
    <mergeCell ref="B719:C719"/>
    <mergeCell ref="B718:C718"/>
    <mergeCell ref="B717:C717"/>
    <mergeCell ref="B716:C716"/>
    <mergeCell ref="B715:C715"/>
    <mergeCell ref="B714:C714"/>
    <mergeCell ref="A830:A831"/>
    <mergeCell ref="A816:I816"/>
    <mergeCell ref="A686:I686"/>
    <mergeCell ref="B753:C753"/>
    <mergeCell ref="B754:C754"/>
    <mergeCell ref="B788:C788"/>
    <mergeCell ref="B794:C794"/>
    <mergeCell ref="B800:C800"/>
    <mergeCell ref="B699:C699"/>
    <mergeCell ref="B721:C721"/>
    <mergeCell ref="B353:C353"/>
    <mergeCell ref="B354:C354"/>
    <mergeCell ref="A399:I399"/>
    <mergeCell ref="B394:C394"/>
    <mergeCell ref="B388:C388"/>
    <mergeCell ref="D384:F384"/>
    <mergeCell ref="G386:H386"/>
    <mergeCell ref="A383:I383"/>
    <mergeCell ref="B346:C346"/>
    <mergeCell ref="B347:C347"/>
    <mergeCell ref="B348:C348"/>
    <mergeCell ref="B352:C352"/>
    <mergeCell ref="B350:C350"/>
    <mergeCell ref="B351:C351"/>
    <mergeCell ref="B478:C478"/>
    <mergeCell ref="B477:C477"/>
    <mergeCell ref="A526:I526"/>
    <mergeCell ref="B492:C492"/>
    <mergeCell ref="B483:C483"/>
    <mergeCell ref="B791:C791"/>
    <mergeCell ref="B700:C700"/>
    <mergeCell ref="B709:C709"/>
    <mergeCell ref="B482:C482"/>
    <mergeCell ref="B720:C720"/>
    <mergeCell ref="G465:H465"/>
    <mergeCell ref="A660:I660"/>
    <mergeCell ref="G677:H677"/>
    <mergeCell ref="A661:I661"/>
    <mergeCell ref="B488:C488"/>
    <mergeCell ref="B495:I495"/>
    <mergeCell ref="A496:I496"/>
    <mergeCell ref="B650:C650"/>
    <mergeCell ref="A505:I505"/>
    <mergeCell ref="B610:C610"/>
    <mergeCell ref="A462:I462"/>
    <mergeCell ref="A403:I403"/>
    <mergeCell ref="B636:C636"/>
    <mergeCell ref="B637:C637"/>
    <mergeCell ref="A425:A426"/>
    <mergeCell ref="A461:I461"/>
    <mergeCell ref="A439:I439"/>
    <mergeCell ref="B432:C432"/>
    <mergeCell ref="B414:C414"/>
    <mergeCell ref="A437:I437"/>
    <mergeCell ref="G425:H425"/>
    <mergeCell ref="A418:I418"/>
    <mergeCell ref="A410:I410"/>
    <mergeCell ref="B425:C426"/>
    <mergeCell ref="B429:C429"/>
    <mergeCell ref="B447:C448"/>
    <mergeCell ref="A440:I440"/>
    <mergeCell ref="A441:I441"/>
    <mergeCell ref="D423:F423"/>
    <mergeCell ref="A405:I405"/>
    <mergeCell ref="A404:I404"/>
    <mergeCell ref="A406:I406"/>
    <mergeCell ref="B368:C368"/>
    <mergeCell ref="A409:I409"/>
    <mergeCell ref="B430:C430"/>
    <mergeCell ref="B428:C428"/>
    <mergeCell ref="B427:C427"/>
    <mergeCell ref="A419:I419"/>
    <mergeCell ref="A421:I421"/>
    <mergeCell ref="B325:C326"/>
    <mergeCell ref="B355:C355"/>
    <mergeCell ref="A376:I376"/>
    <mergeCell ref="B363:C363"/>
    <mergeCell ref="B364:C364"/>
    <mergeCell ref="B365:C365"/>
    <mergeCell ref="B366:C366"/>
    <mergeCell ref="B369:C369"/>
    <mergeCell ref="B358:C358"/>
    <mergeCell ref="A336:I336"/>
    <mergeCell ref="D341:F341"/>
    <mergeCell ref="A407:I407"/>
    <mergeCell ref="A377:I377"/>
    <mergeCell ref="A396:I396"/>
    <mergeCell ref="A397:I397"/>
    <mergeCell ref="A398:I398"/>
    <mergeCell ref="B392:C392"/>
    <mergeCell ref="B393:C393"/>
    <mergeCell ref="A400:I400"/>
    <mergeCell ref="A401:I401"/>
    <mergeCell ref="A257:I257"/>
    <mergeCell ref="A258:I258"/>
    <mergeCell ref="B266:B267"/>
    <mergeCell ref="G266:I266"/>
    <mergeCell ref="A261:I261"/>
    <mergeCell ref="B262:I262"/>
    <mergeCell ref="A33:I33"/>
    <mergeCell ref="B136:I136"/>
    <mergeCell ref="B367:C367"/>
    <mergeCell ref="A144:I144"/>
    <mergeCell ref="B145:I145"/>
    <mergeCell ref="A147:I147"/>
    <mergeCell ref="A255:I255"/>
    <mergeCell ref="A256:I256"/>
    <mergeCell ref="A196:A197"/>
    <mergeCell ref="B196:B197"/>
    <mergeCell ref="A129:I129"/>
    <mergeCell ref="A130:I130"/>
    <mergeCell ref="B8:G8"/>
    <mergeCell ref="A3:A10"/>
    <mergeCell ref="H3:H10"/>
    <mergeCell ref="A16:I16"/>
    <mergeCell ref="B4:G4"/>
    <mergeCell ref="B5:G5"/>
    <mergeCell ref="B6:G6"/>
    <mergeCell ref="A31:I31"/>
    <mergeCell ref="A34:I34"/>
    <mergeCell ref="A140:I140"/>
    <mergeCell ref="A139:I139"/>
    <mergeCell ref="B149:C150"/>
    <mergeCell ref="G149:H149"/>
    <mergeCell ref="A143:I143"/>
    <mergeCell ref="A35:I35"/>
    <mergeCell ref="A62:I62"/>
    <mergeCell ref="B134:I134"/>
    <mergeCell ref="A135:I135"/>
    <mergeCell ref="A137:I137"/>
    <mergeCell ref="A138:I138"/>
    <mergeCell ref="A259:I259"/>
    <mergeCell ref="A141:I141"/>
    <mergeCell ref="A142:I142"/>
    <mergeCell ref="A194:I194"/>
    <mergeCell ref="A146:I146"/>
    <mergeCell ref="B151:C151"/>
    <mergeCell ref="B152:C152"/>
    <mergeCell ref="B155:C155"/>
    <mergeCell ref="G196:I196"/>
    <mergeCell ref="B165:C165"/>
    <mergeCell ref="A189:I189"/>
    <mergeCell ref="B192:I192"/>
    <mergeCell ref="B168:C168"/>
    <mergeCell ref="B169:C169"/>
    <mergeCell ref="B176:C176"/>
    <mergeCell ref="B177:C177"/>
    <mergeCell ref="B172:C172"/>
    <mergeCell ref="B173:C173"/>
    <mergeCell ref="B711:C711"/>
    <mergeCell ref="B710:C710"/>
    <mergeCell ref="B808:C808"/>
    <mergeCell ref="B327:C327"/>
    <mergeCell ref="B328:C328"/>
    <mergeCell ref="B330:C330"/>
    <mergeCell ref="B329:C329"/>
    <mergeCell ref="B331:C331"/>
    <mergeCell ref="A408:I408"/>
    <mergeCell ref="A402:I402"/>
    <mergeCell ref="B747:C748"/>
    <mergeCell ref="A743:I743"/>
    <mergeCell ref="G747:H747"/>
    <mergeCell ref="B809:C809"/>
    <mergeCell ref="A672:I672"/>
    <mergeCell ref="A659:I659"/>
    <mergeCell ref="B751:C751"/>
    <mergeCell ref="B752:C752"/>
    <mergeCell ref="B722:C722"/>
    <mergeCell ref="B723:C723"/>
    <mergeCell ref="B589:C589"/>
    <mergeCell ref="B518:C518"/>
    <mergeCell ref="A527:I527"/>
    <mergeCell ref="B755:C755"/>
    <mergeCell ref="B465:C466"/>
    <mergeCell ref="A744:I744"/>
    <mergeCell ref="B733:C733"/>
    <mergeCell ref="A522:I522"/>
    <mergeCell ref="B728:C728"/>
    <mergeCell ref="B732:C732"/>
    <mergeCell ref="B431:C431"/>
    <mergeCell ref="A459:I459"/>
    <mergeCell ref="B454:C454"/>
    <mergeCell ref="B599:C599"/>
    <mergeCell ref="A511:A512"/>
    <mergeCell ref="B598:C598"/>
    <mergeCell ref="B594:C594"/>
    <mergeCell ref="B597:C597"/>
    <mergeCell ref="B591:C591"/>
    <mergeCell ref="B590:C590"/>
    <mergeCell ref="B455:C455"/>
    <mergeCell ref="B450:C450"/>
    <mergeCell ref="B449:C449"/>
    <mergeCell ref="A442:I442"/>
    <mergeCell ref="B453:C453"/>
    <mergeCell ref="A458:I458"/>
    <mergeCell ref="B452:C452"/>
    <mergeCell ref="B451:C451"/>
    <mergeCell ref="B920:C920"/>
    <mergeCell ref="B919:C919"/>
    <mergeCell ref="B918:C918"/>
    <mergeCell ref="B917:C917"/>
    <mergeCell ref="D445:F445"/>
    <mergeCell ref="B433:C433"/>
    <mergeCell ref="A443:I443"/>
    <mergeCell ref="B456:C456"/>
    <mergeCell ref="A619:I619"/>
    <mergeCell ref="D463:F463"/>
    <mergeCell ref="B158:C158"/>
    <mergeCell ref="B159:C159"/>
    <mergeCell ref="B156:C156"/>
    <mergeCell ref="B179:I179"/>
    <mergeCell ref="B160:C160"/>
    <mergeCell ref="B161:C161"/>
    <mergeCell ref="B162:C162"/>
    <mergeCell ref="B163:C163"/>
    <mergeCell ref="B164:C164"/>
    <mergeCell ref="B157:C157"/>
    <mergeCell ref="B174:C174"/>
    <mergeCell ref="B175:C175"/>
    <mergeCell ref="B872:C872"/>
    <mergeCell ref="B805:C805"/>
    <mergeCell ref="B790:C790"/>
    <mergeCell ref="B789:C789"/>
    <mergeCell ref="B798:C798"/>
    <mergeCell ref="B792:C792"/>
    <mergeCell ref="B806:C806"/>
    <mergeCell ref="B812:C812"/>
    <mergeCell ref="B916:C916"/>
    <mergeCell ref="B915:C915"/>
    <mergeCell ref="B914:C914"/>
    <mergeCell ref="B895:C895"/>
    <mergeCell ref="B897:C897"/>
    <mergeCell ref="B905:C905"/>
    <mergeCell ref="B912:C912"/>
    <mergeCell ref="B911:C911"/>
    <mergeCell ref="B906:C906"/>
    <mergeCell ref="A875:I875"/>
    <mergeCell ref="A876:I876"/>
    <mergeCell ref="B891:C891"/>
    <mergeCell ref="B901:C901"/>
    <mergeCell ref="B887:C888"/>
    <mergeCell ref="B898:C898"/>
    <mergeCell ref="G887:H887"/>
    <mergeCell ref="B892:C892"/>
    <mergeCell ref="D885:F885"/>
    <mergeCell ref="B893:C893"/>
    <mergeCell ref="B894:C894"/>
    <mergeCell ref="B153:C153"/>
    <mergeCell ref="B154:C154"/>
    <mergeCell ref="B386:C387"/>
    <mergeCell ref="A379:I379"/>
    <mergeCell ref="A380:I380"/>
    <mergeCell ref="A381:I381"/>
    <mergeCell ref="A382:I382"/>
    <mergeCell ref="A338:I338"/>
    <mergeCell ref="A193:I193"/>
    <mergeCell ref="A190:I190"/>
    <mergeCell ref="B873:C873"/>
    <mergeCell ref="G845:H845"/>
    <mergeCell ref="B871:C871"/>
    <mergeCell ref="B855:C855"/>
    <mergeCell ref="B868:C868"/>
    <mergeCell ref="B851:C851"/>
    <mergeCell ref="B850:C850"/>
    <mergeCell ref="B849:C849"/>
    <mergeCell ref="G765:H765"/>
    <mergeCell ref="B767:C767"/>
    <mergeCell ref="A776:I776"/>
    <mergeCell ref="B770:C770"/>
    <mergeCell ref="B772:C772"/>
    <mergeCell ref="B774:C774"/>
    <mergeCell ref="B771:C771"/>
    <mergeCell ref="A781:I781"/>
    <mergeCell ref="D783:F783"/>
    <mergeCell ref="A778:I778"/>
    <mergeCell ref="A779:I779"/>
    <mergeCell ref="A780:I780"/>
    <mergeCell ref="B768:C768"/>
    <mergeCell ref="A777:I777"/>
    <mergeCell ref="A825:I825"/>
    <mergeCell ref="A824:I824"/>
    <mergeCell ref="A826:I826"/>
    <mergeCell ref="B793:C793"/>
    <mergeCell ref="B799:C799"/>
    <mergeCell ref="B811:C811"/>
    <mergeCell ref="B795:C795"/>
    <mergeCell ref="B803:C803"/>
    <mergeCell ref="B802:C802"/>
    <mergeCell ref="B801:C801"/>
    <mergeCell ref="B869:C869"/>
    <mergeCell ref="B853:C853"/>
    <mergeCell ref="B852:C852"/>
    <mergeCell ref="B847:C847"/>
    <mergeCell ref="B857:C857"/>
    <mergeCell ref="B859:C859"/>
    <mergeCell ref="B863:C863"/>
    <mergeCell ref="B862:C862"/>
    <mergeCell ref="B856:C856"/>
    <mergeCell ref="B860:C860"/>
    <mergeCell ref="B769:C769"/>
    <mergeCell ref="B773:C773"/>
    <mergeCell ref="B727:C727"/>
    <mergeCell ref="B724:C724"/>
    <mergeCell ref="B725:C725"/>
    <mergeCell ref="B726:C726"/>
    <mergeCell ref="B765:C766"/>
    <mergeCell ref="B731:C731"/>
    <mergeCell ref="B730:C730"/>
    <mergeCell ref="B729:C729"/>
    <mergeCell ref="B821:C821"/>
    <mergeCell ref="B787:C787"/>
    <mergeCell ref="B813:C813"/>
    <mergeCell ref="A815:I815"/>
    <mergeCell ref="G785:H785"/>
    <mergeCell ref="B785:C786"/>
    <mergeCell ref="B797:C797"/>
    <mergeCell ref="B796:C796"/>
    <mergeCell ref="B807:C807"/>
    <mergeCell ref="B804:C804"/>
    <mergeCell ref="B713:C713"/>
    <mergeCell ref="B712:C712"/>
    <mergeCell ref="B708:C708"/>
    <mergeCell ref="B707:C707"/>
    <mergeCell ref="A762:I762"/>
    <mergeCell ref="D763:F763"/>
    <mergeCell ref="A735:I735"/>
    <mergeCell ref="A736:I736"/>
    <mergeCell ref="A742:I742"/>
    <mergeCell ref="A747:A748"/>
    <mergeCell ref="A620:I620"/>
    <mergeCell ref="B639:C639"/>
    <mergeCell ref="B640:C640"/>
    <mergeCell ref="B641:C641"/>
    <mergeCell ref="G628:H628"/>
    <mergeCell ref="D626:F626"/>
    <mergeCell ref="B642:C642"/>
    <mergeCell ref="B603:C603"/>
    <mergeCell ref="A658:I658"/>
    <mergeCell ref="B697:C697"/>
    <mergeCell ref="B696:C696"/>
    <mergeCell ref="B695:C695"/>
    <mergeCell ref="A684:I684"/>
    <mergeCell ref="A663:I663"/>
    <mergeCell ref="A671:I671"/>
    <mergeCell ref="B680:C680"/>
    <mergeCell ref="A688:I688"/>
    <mergeCell ref="B698:C698"/>
    <mergeCell ref="B679:C679"/>
    <mergeCell ref="B628:C629"/>
    <mergeCell ref="A673:I673"/>
    <mergeCell ref="A674:I674"/>
    <mergeCell ref="B656:C656"/>
    <mergeCell ref="B648:C648"/>
    <mergeCell ref="A662:I662"/>
    <mergeCell ref="A677:A678"/>
    <mergeCell ref="B677:C678"/>
    <mergeCell ref="B616:C616"/>
    <mergeCell ref="B705:C706"/>
    <mergeCell ref="A685:I685"/>
    <mergeCell ref="B681:C681"/>
    <mergeCell ref="A687:I687"/>
    <mergeCell ref="B682:C682"/>
    <mergeCell ref="D703:F703"/>
    <mergeCell ref="A702:I702"/>
    <mergeCell ref="B693:C694"/>
    <mergeCell ref="D691:F691"/>
    <mergeCell ref="B638:C638"/>
    <mergeCell ref="B635:C635"/>
    <mergeCell ref="B630:C630"/>
    <mergeCell ref="B634:C634"/>
    <mergeCell ref="B631:C631"/>
    <mergeCell ref="B632:C632"/>
    <mergeCell ref="B633:C633"/>
    <mergeCell ref="B644:C644"/>
    <mergeCell ref="B653:C653"/>
    <mergeCell ref="B615:C615"/>
    <mergeCell ref="B614:C614"/>
    <mergeCell ref="B611:C611"/>
    <mergeCell ref="B600:C600"/>
    <mergeCell ref="B613:C613"/>
    <mergeCell ref="B607:C607"/>
    <mergeCell ref="B606:C606"/>
    <mergeCell ref="B601:C601"/>
    <mergeCell ref="B604:C604"/>
    <mergeCell ref="B605:C605"/>
    <mergeCell ref="B654:C654"/>
    <mergeCell ref="B655:C655"/>
    <mergeCell ref="B645:C645"/>
    <mergeCell ref="B649:C649"/>
    <mergeCell ref="B646:C646"/>
    <mergeCell ref="B647:C647"/>
    <mergeCell ref="B651:C651"/>
    <mergeCell ref="B652:C652"/>
    <mergeCell ref="B571:C571"/>
    <mergeCell ref="B582:C582"/>
    <mergeCell ref="B643:C643"/>
    <mergeCell ref="B617:C617"/>
    <mergeCell ref="B602:C602"/>
    <mergeCell ref="B574:C574"/>
    <mergeCell ref="B612:C612"/>
    <mergeCell ref="B609:C609"/>
    <mergeCell ref="B608:C608"/>
    <mergeCell ref="B587:C587"/>
    <mergeCell ref="B596:C596"/>
    <mergeCell ref="B581:C581"/>
    <mergeCell ref="B586:C586"/>
    <mergeCell ref="B585:C585"/>
    <mergeCell ref="B584:C584"/>
    <mergeCell ref="B583:C583"/>
    <mergeCell ref="B595:C595"/>
    <mergeCell ref="B593:C593"/>
    <mergeCell ref="B592:C592"/>
    <mergeCell ref="B588:C588"/>
    <mergeCell ref="B580:C580"/>
    <mergeCell ref="B579:C579"/>
    <mergeCell ref="B578:C578"/>
    <mergeCell ref="B566:C566"/>
    <mergeCell ref="B577:C577"/>
    <mergeCell ref="B576:C576"/>
    <mergeCell ref="B575:C575"/>
    <mergeCell ref="B573:C573"/>
    <mergeCell ref="B572:C572"/>
    <mergeCell ref="B569:C569"/>
    <mergeCell ref="B538:C538"/>
    <mergeCell ref="B564:C564"/>
    <mergeCell ref="B563:C563"/>
    <mergeCell ref="B554:C554"/>
    <mergeCell ref="B553:C553"/>
    <mergeCell ref="B555:C555"/>
    <mergeCell ref="C195:F195"/>
    <mergeCell ref="B359:C359"/>
    <mergeCell ref="B360:C360"/>
    <mergeCell ref="B343:C344"/>
    <mergeCell ref="B469:C469"/>
    <mergeCell ref="B481:C481"/>
    <mergeCell ref="B471:C471"/>
    <mergeCell ref="A420:I420"/>
    <mergeCell ref="B480:C480"/>
    <mergeCell ref="A438:I438"/>
    <mergeCell ref="D323:F323"/>
    <mergeCell ref="G325:H325"/>
    <mergeCell ref="A335:I335"/>
    <mergeCell ref="B357:C357"/>
    <mergeCell ref="B549:C549"/>
    <mergeCell ref="B548:C548"/>
    <mergeCell ref="B539:C539"/>
    <mergeCell ref="B547:C547"/>
    <mergeCell ref="B541:C541"/>
    <mergeCell ref="B536:C536"/>
    <mergeCell ref="B472:C472"/>
    <mergeCell ref="B473:C473"/>
    <mergeCell ref="B474:C474"/>
    <mergeCell ref="B470:C470"/>
    <mergeCell ref="B166:C166"/>
    <mergeCell ref="B167:C167"/>
    <mergeCell ref="B361:C361"/>
    <mergeCell ref="A260:I260"/>
    <mergeCell ref="B356:C356"/>
    <mergeCell ref="A337:I337"/>
    <mergeCell ref="B475:C475"/>
    <mergeCell ref="B476:C476"/>
    <mergeCell ref="B479:C479"/>
    <mergeCell ref="B517:C517"/>
    <mergeCell ref="B514:C514"/>
    <mergeCell ref="B485:C485"/>
    <mergeCell ref="B486:C486"/>
    <mergeCell ref="B487:C487"/>
    <mergeCell ref="B490:C490"/>
    <mergeCell ref="B511:C512"/>
    <mergeCell ref="B493:C493"/>
    <mergeCell ref="B491:C491"/>
    <mergeCell ref="A506:I506"/>
    <mergeCell ref="B532:C533"/>
    <mergeCell ref="A523:I523"/>
    <mergeCell ref="A528:I528"/>
    <mergeCell ref="D530:F530"/>
    <mergeCell ref="G532:H532"/>
    <mergeCell ref="A524:I524"/>
    <mergeCell ref="A525:I525"/>
    <mergeCell ref="B484:C484"/>
    <mergeCell ref="D509:F509"/>
    <mergeCell ref="B516:C516"/>
    <mergeCell ref="B519:C519"/>
    <mergeCell ref="A507:I507"/>
    <mergeCell ref="B513:C513"/>
    <mergeCell ref="B489:C489"/>
    <mergeCell ref="B515:C515"/>
    <mergeCell ref="A500:D500"/>
    <mergeCell ref="A504:I504"/>
    <mergeCell ref="A322:I322"/>
    <mergeCell ref="B546:C546"/>
    <mergeCell ref="B540:C540"/>
    <mergeCell ref="B545:C545"/>
    <mergeCell ref="A339:I339"/>
    <mergeCell ref="A340:I340"/>
    <mergeCell ref="B389:C389"/>
    <mergeCell ref="B391:C391"/>
    <mergeCell ref="B390:C390"/>
    <mergeCell ref="A521:I521"/>
    <mergeCell ref="G343:H343"/>
    <mergeCell ref="A378:I378"/>
    <mergeCell ref="B332:C332"/>
    <mergeCell ref="B333:C333"/>
    <mergeCell ref="B371:C371"/>
    <mergeCell ref="A375:I375"/>
    <mergeCell ref="B370:C370"/>
    <mergeCell ref="B362:C362"/>
    <mergeCell ref="B349:C349"/>
    <mergeCell ref="B345:C345"/>
    <mergeCell ref="B317:I317"/>
    <mergeCell ref="C264:F264"/>
    <mergeCell ref="A304:I304"/>
    <mergeCell ref="A314:I314"/>
    <mergeCell ref="A321:I321"/>
    <mergeCell ref="A320:I320"/>
    <mergeCell ref="A318:I318"/>
    <mergeCell ref="A319:I319"/>
    <mergeCell ref="B303:I303"/>
    <mergeCell ref="B170:C170"/>
    <mergeCell ref="B171:C171"/>
    <mergeCell ref="A1147:I1147"/>
    <mergeCell ref="A1148:I1148"/>
    <mergeCell ref="B865:C865"/>
    <mergeCell ref="B896:C896"/>
    <mergeCell ref="B667:D667"/>
    <mergeCell ref="B739:E739"/>
    <mergeCell ref="G511:H511"/>
    <mergeCell ref="A325:A326"/>
    <mergeCell ref="B908:C908"/>
    <mergeCell ref="B1140:C1140"/>
    <mergeCell ref="B1141:C1141"/>
    <mergeCell ref="B1156:C1156"/>
    <mergeCell ref="B978:D978"/>
    <mergeCell ref="B979:D979"/>
    <mergeCell ref="B927:D927"/>
    <mergeCell ref="B922:I922"/>
    <mergeCell ref="A923:I923"/>
    <mergeCell ref="B910:C910"/>
    <mergeCell ref="B904:C904"/>
    <mergeCell ref="B1247:I1247"/>
    <mergeCell ref="A1187:I1187"/>
    <mergeCell ref="A1188:I1188"/>
    <mergeCell ref="A1189:I1189"/>
    <mergeCell ref="B1197:D1197"/>
    <mergeCell ref="B1212:E1212"/>
    <mergeCell ref="A1193:I1193"/>
    <mergeCell ref="A1194:I1194"/>
    <mergeCell ref="B1165:C1165"/>
    <mergeCell ref="B551:C551"/>
    <mergeCell ref="B550:C550"/>
    <mergeCell ref="A1185:I1185"/>
    <mergeCell ref="B1139:C1139"/>
    <mergeCell ref="A1145:I1145"/>
    <mergeCell ref="A1146:I1146"/>
    <mergeCell ref="B1142:C1142"/>
    <mergeCell ref="B1143:C1143"/>
    <mergeCell ref="B903:C903"/>
    <mergeCell ref="G1069:H1069"/>
    <mergeCell ref="B534:C534"/>
    <mergeCell ref="B535:C535"/>
    <mergeCell ref="B570:C570"/>
    <mergeCell ref="B552:C552"/>
    <mergeCell ref="B565:C565"/>
    <mergeCell ref="B537:C537"/>
    <mergeCell ref="B544:C544"/>
    <mergeCell ref="B543:C543"/>
    <mergeCell ref="B542:C542"/>
    <mergeCell ref="B567:C567"/>
    <mergeCell ref="B467:C467"/>
    <mergeCell ref="B468:C468"/>
    <mergeCell ref="A1173:I1173"/>
    <mergeCell ref="B1036:D1036"/>
    <mergeCell ref="B1023:D1023"/>
    <mergeCell ref="B1075:C1075"/>
    <mergeCell ref="A1061:E1061"/>
    <mergeCell ref="B1065:I1065"/>
    <mergeCell ref="D1067:F1067"/>
    <mergeCell ref="B1069:C1070"/>
    <mergeCell ref="A1182:I1182"/>
    <mergeCell ref="B1172:I1172"/>
    <mergeCell ref="A1175:I1175"/>
    <mergeCell ref="A1159:I1159"/>
    <mergeCell ref="A1176:I1176"/>
    <mergeCell ref="A1174:I1174"/>
    <mergeCell ref="B1170:C1170"/>
    <mergeCell ref="B1164:C1164"/>
    <mergeCell ref="B1168:C1168"/>
    <mergeCell ref="B1169:C1169"/>
    <mergeCell ref="A1186:I1186"/>
    <mergeCell ref="A1294:I1294"/>
    <mergeCell ref="B1280:C1280"/>
    <mergeCell ref="B1282:I1282"/>
    <mergeCell ref="A1283:I1283"/>
    <mergeCell ref="B1254:C1255"/>
    <mergeCell ref="B1256:C1256"/>
    <mergeCell ref="G1254:H1254"/>
    <mergeCell ref="A1244:E1244"/>
    <mergeCell ref="B1262:C1262"/>
    <mergeCell ref="B1631:C1632"/>
    <mergeCell ref="B1278:C1278"/>
    <mergeCell ref="A1311:I1311"/>
    <mergeCell ref="A1317:A1318"/>
    <mergeCell ref="B1384:C1384"/>
    <mergeCell ref="A1322:I1322"/>
    <mergeCell ref="B1321:C1321"/>
    <mergeCell ref="D1629:F1629"/>
    <mergeCell ref="A1372:I1372"/>
    <mergeCell ref="D1374:F1374"/>
    <mergeCell ref="A1682:I1682"/>
    <mergeCell ref="B1660:D1660"/>
    <mergeCell ref="A1678:F1678"/>
    <mergeCell ref="D1684:F1684"/>
    <mergeCell ref="B1636:C1636"/>
    <mergeCell ref="B1637:C1637"/>
    <mergeCell ref="A1652:I1652"/>
    <mergeCell ref="A1657:I1657"/>
    <mergeCell ref="A1659:I1659"/>
    <mergeCell ref="A1653:I1653"/>
    <mergeCell ref="A1654:I1654"/>
    <mergeCell ref="A1655:I1655"/>
    <mergeCell ref="A1656:I1656"/>
    <mergeCell ref="B1633:C1633"/>
    <mergeCell ref="B1634:C1634"/>
    <mergeCell ref="A1183:I1183"/>
    <mergeCell ref="A1184:I1184"/>
    <mergeCell ref="A1284:I1284"/>
    <mergeCell ref="B1276:C1276"/>
    <mergeCell ref="B1277:C1277"/>
    <mergeCell ref="A1248:I1248"/>
    <mergeCell ref="B1260:C1260"/>
    <mergeCell ref="D1270:F1270"/>
    <mergeCell ref="A1191:I1191"/>
    <mergeCell ref="D1252:F1252"/>
    <mergeCell ref="B1251:I1251"/>
    <mergeCell ref="B1319:C1319"/>
    <mergeCell ref="B1279:C1279"/>
    <mergeCell ref="B1272:C1273"/>
    <mergeCell ref="B1257:C1257"/>
    <mergeCell ref="B1313:I1313"/>
    <mergeCell ref="D1315:F1315"/>
    <mergeCell ref="B1259:C1259"/>
    <mergeCell ref="B1261:C1261"/>
    <mergeCell ref="A1643:I1643"/>
    <mergeCell ref="B1641:I1641"/>
    <mergeCell ref="B1666:E1666"/>
    <mergeCell ref="G1631:H1631"/>
    <mergeCell ref="A1647:I1647"/>
    <mergeCell ref="A1648:I1648"/>
    <mergeCell ref="A1642:I1642"/>
    <mergeCell ref="B1639:C1639"/>
    <mergeCell ref="B1638:C1638"/>
    <mergeCell ref="B1635:C1635"/>
    <mergeCell ref="B1320:C1320"/>
    <mergeCell ref="A1267:I1267"/>
    <mergeCell ref="B1258:C1258"/>
    <mergeCell ref="B1263:C1263"/>
    <mergeCell ref="A1266:I1266"/>
    <mergeCell ref="A1268:I1268"/>
    <mergeCell ref="A1269:I1269"/>
    <mergeCell ref="A1287:I1287"/>
    <mergeCell ref="A1288:I1288"/>
    <mergeCell ref="B1762:C1762"/>
    <mergeCell ref="B1746:I1746"/>
    <mergeCell ref="A1708:I1708"/>
    <mergeCell ref="A1750:A1751"/>
    <mergeCell ref="B1750:C1751"/>
    <mergeCell ref="G1750:H1750"/>
    <mergeCell ref="B1752:C1752"/>
    <mergeCell ref="A1743:I1743"/>
    <mergeCell ref="A1738:F1738"/>
    <mergeCell ref="B1761:C1761"/>
    <mergeCell ref="B1753:C1753"/>
    <mergeCell ref="B1758:C1758"/>
    <mergeCell ref="B1759:C1759"/>
    <mergeCell ref="A1698:I1698"/>
    <mergeCell ref="A1700:I1700"/>
    <mergeCell ref="A1702:I1702"/>
    <mergeCell ref="A1704:I1704"/>
    <mergeCell ref="A1703:I1703"/>
    <mergeCell ref="B1995:I1995"/>
    <mergeCell ref="A1916:I1916"/>
    <mergeCell ref="A1917:I1917"/>
    <mergeCell ref="B1927:D1927"/>
    <mergeCell ref="B1940:E1940"/>
    <mergeCell ref="B1987:G1987"/>
    <mergeCell ref="A1992:I1992"/>
    <mergeCell ref="A1991:I1991"/>
    <mergeCell ref="A1912:I1912"/>
    <mergeCell ref="A1913:I1913"/>
    <mergeCell ref="A1993:I1993"/>
    <mergeCell ref="A1768:I1768"/>
    <mergeCell ref="D1770:F1770"/>
    <mergeCell ref="B1772:C1773"/>
    <mergeCell ref="B1899:C1900"/>
    <mergeCell ref="G1899:H1899"/>
    <mergeCell ref="B1882:C1882"/>
    <mergeCell ref="A1994:I1994"/>
    <mergeCell ref="A1914:I1914"/>
    <mergeCell ref="A1915:I1915"/>
    <mergeCell ref="B1903:C1903"/>
    <mergeCell ref="B1904:C1904"/>
    <mergeCell ref="B1905:C1905"/>
    <mergeCell ref="B1906:C1906"/>
    <mergeCell ref="B1907:C1907"/>
    <mergeCell ref="B1909:I1909"/>
    <mergeCell ref="A1910:I1910"/>
    <mergeCell ref="A1911:I1911"/>
    <mergeCell ref="A2196:I2196"/>
    <mergeCell ref="D2197:F2197"/>
    <mergeCell ref="B2186:C2186"/>
    <mergeCell ref="B2188:C2188"/>
    <mergeCell ref="B2187:C2187"/>
    <mergeCell ref="A2191:I2191"/>
    <mergeCell ref="A2192:I2192"/>
    <mergeCell ref="A2193:I2193"/>
    <mergeCell ref="A2194:I2194"/>
    <mergeCell ref="B2179:I2179"/>
    <mergeCell ref="D2181:F2181"/>
    <mergeCell ref="B2189:C2189"/>
    <mergeCell ref="A2183:A2184"/>
    <mergeCell ref="B2183:C2184"/>
    <mergeCell ref="G2183:H2183"/>
    <mergeCell ref="A2215:I2215"/>
    <mergeCell ref="B2140:C2140"/>
    <mergeCell ref="B2142:I2142"/>
    <mergeCell ref="A2143:I2143"/>
    <mergeCell ref="A2144:I2144"/>
    <mergeCell ref="D1997:F1997"/>
    <mergeCell ref="A1999:A2000"/>
    <mergeCell ref="B1999:C2000"/>
    <mergeCell ref="G1999:H1999"/>
    <mergeCell ref="A2195:I2195"/>
    <mergeCell ref="B2199:C2200"/>
    <mergeCell ref="G2199:H2199"/>
    <mergeCell ref="B2201:C2201"/>
    <mergeCell ref="B2202:C2202"/>
    <mergeCell ref="B2203:C2203"/>
    <mergeCell ref="B2204:C2204"/>
    <mergeCell ref="B2219:D2219"/>
    <mergeCell ref="A2212:I2212"/>
    <mergeCell ref="A2145:I2145"/>
    <mergeCell ref="A2146:I2146"/>
    <mergeCell ref="B2151:D2151"/>
    <mergeCell ref="A2178:I2178"/>
    <mergeCell ref="B2172:G2172"/>
    <mergeCell ref="A2175:I2175"/>
    <mergeCell ref="A2176:I2176"/>
    <mergeCell ref="A2147:I2147"/>
    <mergeCell ref="A2217:I2217"/>
    <mergeCell ref="B2205:C2205"/>
    <mergeCell ref="B2206:C2206"/>
    <mergeCell ref="B2207:C2207"/>
    <mergeCell ref="B2209:I2209"/>
    <mergeCell ref="A2210:I2210"/>
    <mergeCell ref="A2211:I2211"/>
    <mergeCell ref="A2216:I2216"/>
    <mergeCell ref="A2213:I2213"/>
    <mergeCell ref="A2214:I2214"/>
    <mergeCell ref="A2260:I2260"/>
    <mergeCell ref="B2249:C2249"/>
    <mergeCell ref="B2250:C2250"/>
    <mergeCell ref="B2251:C2251"/>
    <mergeCell ref="B2252:C2252"/>
    <mergeCell ref="B2223:E2223"/>
    <mergeCell ref="A2256:I2256"/>
    <mergeCell ref="A2257:I2257"/>
    <mergeCell ref="B2253:C2253"/>
    <mergeCell ref="B2254:C2254"/>
    <mergeCell ref="A2300:I2300"/>
    <mergeCell ref="D2302:F2302"/>
    <mergeCell ref="A2258:I2258"/>
    <mergeCell ref="A2259:I2259"/>
    <mergeCell ref="B2266:D2266"/>
    <mergeCell ref="B2279:E2279"/>
    <mergeCell ref="B2309:C2309"/>
    <mergeCell ref="B2308:C2308"/>
    <mergeCell ref="A2304:A2305"/>
    <mergeCell ref="B2304:C2305"/>
    <mergeCell ref="G2304:H2304"/>
    <mergeCell ref="A2241:I2241"/>
    <mergeCell ref="D2244:F2244"/>
    <mergeCell ref="B2246:C2247"/>
    <mergeCell ref="G2246:H2246"/>
    <mergeCell ref="B2248:C2248"/>
    <mergeCell ref="D2314:F2314"/>
    <mergeCell ref="B2316:C2317"/>
    <mergeCell ref="B2236:G2236"/>
    <mergeCell ref="B2297:H2297"/>
    <mergeCell ref="B2318:C2318"/>
    <mergeCell ref="B2319:C2319"/>
    <mergeCell ref="G2316:H2316"/>
    <mergeCell ref="A2301:I2301"/>
    <mergeCell ref="A2311:I2311"/>
    <mergeCell ref="A2312:I2312"/>
    <mergeCell ref="A2420:I2420"/>
    <mergeCell ref="B2401:E2401"/>
    <mergeCell ref="A2380:I2380"/>
    <mergeCell ref="B2320:C2320"/>
    <mergeCell ref="B2321:C2321"/>
    <mergeCell ref="B2322:C2322"/>
    <mergeCell ref="B2418:G2418"/>
    <mergeCell ref="B2373:C2373"/>
    <mergeCell ref="A2364:I2364"/>
    <mergeCell ref="D2366:F2366"/>
    <mergeCell ref="B2368:C2369"/>
    <mergeCell ref="G2368:H2368"/>
    <mergeCell ref="B2391:D2391"/>
    <mergeCell ref="B2374:C2374"/>
    <mergeCell ref="A2386:I2386"/>
    <mergeCell ref="B2375:C2375"/>
    <mergeCell ref="B2323:C2323"/>
    <mergeCell ref="B2324:C2324"/>
    <mergeCell ref="B2326:I2326"/>
    <mergeCell ref="A2327:I2327"/>
    <mergeCell ref="B2336:D2336"/>
    <mergeCell ref="B2345:E2345"/>
    <mergeCell ref="A2332:I2332"/>
    <mergeCell ref="A2330:I2330"/>
    <mergeCell ref="A2331:I2331"/>
    <mergeCell ref="A2333:I2333"/>
    <mergeCell ref="A2328:I2328"/>
    <mergeCell ref="A2329:I2329"/>
    <mergeCell ref="A2435:I2435"/>
    <mergeCell ref="B2376:C2376"/>
    <mergeCell ref="A2378:I2378"/>
    <mergeCell ref="A2379:I2379"/>
    <mergeCell ref="A2421:I2421"/>
    <mergeCell ref="A2422:I2422"/>
    <mergeCell ref="A2423:I2423"/>
    <mergeCell ref="B2359:G2359"/>
    <mergeCell ref="B2424:I2424"/>
    <mergeCell ref="D2425:F2425"/>
    <mergeCell ref="A2427:A2428"/>
    <mergeCell ref="B2427:C2428"/>
    <mergeCell ref="G2427:H2427"/>
    <mergeCell ref="B2430:C2430"/>
    <mergeCell ref="A2334:I2334"/>
    <mergeCell ref="A2363:I2363"/>
    <mergeCell ref="A2385:I2385"/>
    <mergeCell ref="B2370:C2370"/>
    <mergeCell ref="B2371:C2371"/>
    <mergeCell ref="B2372:C2372"/>
    <mergeCell ref="A2381:I2381"/>
    <mergeCell ref="A2382:I2382"/>
    <mergeCell ref="A2383:I2383"/>
    <mergeCell ref="A2384:I2384"/>
    <mergeCell ref="B2306:C2306"/>
    <mergeCell ref="B2307:C2307"/>
    <mergeCell ref="A2460:I2460"/>
    <mergeCell ref="A2461:I2461"/>
    <mergeCell ref="A2457:I2457"/>
    <mergeCell ref="A2458:I2458"/>
    <mergeCell ref="A2459:I2459"/>
    <mergeCell ref="B2450:C2450"/>
    <mergeCell ref="B2452:I2452"/>
    <mergeCell ref="B2442:C2443"/>
    <mergeCell ref="B2444:C2444"/>
    <mergeCell ref="D2440:F2440"/>
    <mergeCell ref="A2454:I2454"/>
    <mergeCell ref="A2455:I2455"/>
    <mergeCell ref="A2456:I2456"/>
    <mergeCell ref="B2448:C2448"/>
    <mergeCell ref="A2453:I2453"/>
    <mergeCell ref="B2445:C2445"/>
    <mergeCell ref="B2446:C2446"/>
    <mergeCell ref="B2447:C2447"/>
    <mergeCell ref="B2472:I2472"/>
    <mergeCell ref="B2431:C2431"/>
    <mergeCell ref="B2432:C2432"/>
    <mergeCell ref="B2433:C2433"/>
    <mergeCell ref="A2439:I2439"/>
    <mergeCell ref="A2436:I2436"/>
    <mergeCell ref="A2462:I2462"/>
    <mergeCell ref="G2442:H2442"/>
    <mergeCell ref="A2437:I2437"/>
    <mergeCell ref="A2438:I2438"/>
    <mergeCell ref="B2449:C2449"/>
    <mergeCell ref="B2467:I2467"/>
    <mergeCell ref="A2468:I2468"/>
    <mergeCell ref="A2469:I2469"/>
    <mergeCell ref="A2470:I2470"/>
    <mergeCell ref="A2471:I2471"/>
    <mergeCell ref="B2498:C2498"/>
    <mergeCell ref="B2499:C2499"/>
    <mergeCell ref="B2500:C2500"/>
    <mergeCell ref="A2502:I2502"/>
    <mergeCell ref="A2504:I2504"/>
    <mergeCell ref="B2495:C2495"/>
    <mergeCell ref="B2496:C2496"/>
    <mergeCell ref="B2497:C2497"/>
    <mergeCell ref="A2554:A2555"/>
    <mergeCell ref="B2554:C2555"/>
    <mergeCell ref="G2554:H2554"/>
    <mergeCell ref="A2546:I2546"/>
    <mergeCell ref="A2507:I2507"/>
    <mergeCell ref="A2503:I2503"/>
    <mergeCell ref="A2547:I2547"/>
    <mergeCell ref="A2548:I2548"/>
    <mergeCell ref="A2549:I2549"/>
    <mergeCell ref="B2550:I2550"/>
    <mergeCell ref="A2508:I2508"/>
    <mergeCell ref="B2513:D2513"/>
    <mergeCell ref="B2524:E2524"/>
    <mergeCell ref="B2542:G2542"/>
    <mergeCell ref="D2552:F2552"/>
    <mergeCell ref="A2606:I2606"/>
    <mergeCell ref="A2607:I2607"/>
    <mergeCell ref="B2576:I2576"/>
    <mergeCell ref="A2577:I2577"/>
    <mergeCell ref="A2578:I2578"/>
    <mergeCell ref="A2579:I2579"/>
    <mergeCell ref="A2580:I2580"/>
    <mergeCell ref="A2581:I2581"/>
    <mergeCell ref="B2592:E2592"/>
    <mergeCell ref="A2561:I2561"/>
    <mergeCell ref="B2568:C2568"/>
    <mergeCell ref="B2557:C2557"/>
    <mergeCell ref="B2558:C2558"/>
    <mergeCell ref="B2566:C2567"/>
    <mergeCell ref="G2566:H2566"/>
    <mergeCell ref="A2563:I2563"/>
    <mergeCell ref="D2564:F2564"/>
    <mergeCell ref="B2559:C2559"/>
    <mergeCell ref="A2562:I2562"/>
    <mergeCell ref="B2569:C2569"/>
    <mergeCell ref="B2570:C2570"/>
    <mergeCell ref="B2571:C2571"/>
    <mergeCell ref="B2572:C2572"/>
    <mergeCell ref="A2608:I2608"/>
    <mergeCell ref="A2582:I2582"/>
    <mergeCell ref="A2583:I2583"/>
    <mergeCell ref="A2584:I2584"/>
    <mergeCell ref="B2586:D2586"/>
    <mergeCell ref="B2603:G2603"/>
    <mergeCell ref="A2634:I2634"/>
    <mergeCell ref="A2635:I2635"/>
    <mergeCell ref="B2573:C2573"/>
    <mergeCell ref="B2574:C2574"/>
    <mergeCell ref="B2629:C2629"/>
    <mergeCell ref="B2630:C2630"/>
    <mergeCell ref="B2623:C2624"/>
    <mergeCell ref="B2628:C2628"/>
    <mergeCell ref="B2615:C2615"/>
    <mergeCell ref="B2616:C2616"/>
    <mergeCell ref="G2623:H2623"/>
    <mergeCell ref="B2625:C2625"/>
    <mergeCell ref="B2626:C2626"/>
    <mergeCell ref="B2627:C2627"/>
    <mergeCell ref="B2631:C2631"/>
    <mergeCell ref="B2633:I2633"/>
    <mergeCell ref="D2610:F2610"/>
    <mergeCell ref="A2619:I2619"/>
    <mergeCell ref="D2621:F2621"/>
    <mergeCell ref="A2612:A2613"/>
    <mergeCell ref="B2612:C2613"/>
    <mergeCell ref="G2612:H2612"/>
    <mergeCell ref="B2617:C2617"/>
    <mergeCell ref="A2669:I2669"/>
    <mergeCell ref="B2676:C2676"/>
    <mergeCell ref="B2677:C2677"/>
    <mergeCell ref="B2678:C2678"/>
    <mergeCell ref="D2671:F2671"/>
    <mergeCell ref="A2680:I2680"/>
    <mergeCell ref="A2673:A2674"/>
    <mergeCell ref="A2637:I2637"/>
    <mergeCell ref="A2638:I2638"/>
    <mergeCell ref="A2639:I2639"/>
    <mergeCell ref="D2682:F2682"/>
    <mergeCell ref="B2643:D2643"/>
    <mergeCell ref="B2651:E2651"/>
    <mergeCell ref="B2664:G2664"/>
    <mergeCell ref="B2673:C2674"/>
    <mergeCell ref="G2673:H2673"/>
    <mergeCell ref="A2668:I2668"/>
    <mergeCell ref="A2641:I2641"/>
    <mergeCell ref="A305:I305"/>
    <mergeCell ref="A1705:I1705"/>
    <mergeCell ref="A1706:I1706"/>
    <mergeCell ref="B1862:G1862"/>
    <mergeCell ref="B1866:I1866"/>
    <mergeCell ref="B1742:I1742"/>
    <mergeCell ref="D745:F745"/>
    <mergeCell ref="A2636:I2636"/>
    <mergeCell ref="A1764:I1764"/>
    <mergeCell ref="B2713:E2713"/>
    <mergeCell ref="B2486:I2486"/>
    <mergeCell ref="A2698:I2698"/>
    <mergeCell ref="A2699:I2699"/>
    <mergeCell ref="A2700:I2700"/>
    <mergeCell ref="A2701:I2701"/>
    <mergeCell ref="A2695:I2695"/>
    <mergeCell ref="A2696:I2696"/>
    <mergeCell ref="A2697:I2697"/>
    <mergeCell ref="A2640:I2640"/>
    <mergeCell ref="B2686:C2686"/>
    <mergeCell ref="B2687:C2687"/>
    <mergeCell ref="B2691:C2691"/>
    <mergeCell ref="B2692:C2692"/>
    <mergeCell ref="B2694:I2694"/>
    <mergeCell ref="B2705:D2705"/>
    <mergeCell ref="A2702:I2702"/>
    <mergeCell ref="D1156:F1156"/>
    <mergeCell ref="B1162:C1163"/>
    <mergeCell ref="B2688:C2688"/>
    <mergeCell ref="B2689:C2689"/>
    <mergeCell ref="B2690:C2690"/>
    <mergeCell ref="B1166:C1166"/>
    <mergeCell ref="B1167:C1167"/>
    <mergeCell ref="A1250:I1250"/>
    <mergeCell ref="B2684:C2685"/>
    <mergeCell ref="G2684:H2684"/>
    <mergeCell ref="B899:C899"/>
    <mergeCell ref="B900:C900"/>
    <mergeCell ref="B870:C870"/>
    <mergeCell ref="D1155:F1155"/>
    <mergeCell ref="G1162:H1162"/>
    <mergeCell ref="B1157:C1157"/>
    <mergeCell ref="D1157:F1157"/>
    <mergeCell ref="D1160:F1160"/>
    <mergeCell ref="A1158:I1158"/>
    <mergeCell ref="B1155:C1155"/>
    <mergeCell ref="B832:C832"/>
    <mergeCell ref="B830:C831"/>
    <mergeCell ref="G830:H830"/>
    <mergeCell ref="B866:C866"/>
    <mergeCell ref="B909:C909"/>
    <mergeCell ref="B889:C889"/>
    <mergeCell ref="B890:C890"/>
    <mergeCell ref="B902:C902"/>
    <mergeCell ref="B907:C907"/>
    <mergeCell ref="B867:C867"/>
    <mergeCell ref="A842:I842"/>
    <mergeCell ref="B858:C858"/>
    <mergeCell ref="B854:C854"/>
    <mergeCell ref="B848:C848"/>
    <mergeCell ref="B861:C861"/>
    <mergeCell ref="A841:I841"/>
    <mergeCell ref="B977:D977"/>
    <mergeCell ref="B845:C846"/>
    <mergeCell ref="B1572:I1572"/>
    <mergeCell ref="A1573:I1573"/>
    <mergeCell ref="B1509:C1509"/>
    <mergeCell ref="B1516:I1516"/>
    <mergeCell ref="A1517:I1517"/>
    <mergeCell ref="A1511:I1511"/>
    <mergeCell ref="B1531:I1531"/>
    <mergeCell ref="A1532:I1532"/>
    <mergeCell ref="B962:D962"/>
    <mergeCell ref="B953:D953"/>
    <mergeCell ref="B951:D951"/>
    <mergeCell ref="B934:D934"/>
    <mergeCell ref="B941:D941"/>
    <mergeCell ref="B942:D942"/>
    <mergeCell ref="B935:D935"/>
    <mergeCell ref="B936:D936"/>
    <mergeCell ref="B937:D937"/>
    <mergeCell ref="B938:D938"/>
    <mergeCell ref="B933:D933"/>
    <mergeCell ref="B940:D940"/>
    <mergeCell ref="B77:G77"/>
    <mergeCell ref="B78:G78"/>
    <mergeCell ref="B102:G102"/>
    <mergeCell ref="B101:G101"/>
    <mergeCell ref="B100:G100"/>
    <mergeCell ref="D843:F843"/>
    <mergeCell ref="D828:F828"/>
    <mergeCell ref="B864:C864"/>
    <mergeCell ref="A2473:I2473"/>
    <mergeCell ref="B2352:I2352"/>
    <mergeCell ref="B2348:I2348"/>
    <mergeCell ref="A2351:I2351"/>
    <mergeCell ref="A1204:I1204"/>
    <mergeCell ref="B1205:I1205"/>
    <mergeCell ref="B2339:I2339"/>
    <mergeCell ref="B2340:I2340"/>
    <mergeCell ref="B2341:I2341"/>
    <mergeCell ref="B2342:I2342"/>
  </mergeCells>
  <printOptions/>
  <pageMargins left="0" right="0" top="0.25" bottom="0.25" header="0" footer="0"/>
  <pageSetup horizontalDpi="600" verticalDpi="600" orientation="portrait" scale="60" r:id="rId2"/>
  <colBreaks count="1" manualBreakCount="1">
    <brk id="9" max="3138" man="1"/>
  </colBreaks>
  <ignoredErrors>
    <ignoredError sqref="A198:C198 D233 D246:D247 D238:D239 D213 A230 D229 D207 A207 A245 A239:A240 E174:F174 H83" numberStoredAsText="1"/>
    <ignoredError sqref="G1446:H1446 G283:H287 H2615:H2617 G1625:I1626 G1775:H1775 G1902:H1902 I1902:I1907 G1907:H1907 I1135:I1138 G1142:I1142 G2186:I2186 G2189:I2189 G272:G273 H272 G277 G289:H294 I270:I293 G296:I296 G583 G1134:H1138 G300:I300 I298" emptyCellReference="1" evalError="1"/>
    <ignoredError sqref="G2615:G2616 I2615 D1907:F1907 D2189 D333 D166 I1775:I1779 G1776:H1779 I1446" emptyCellReference="1"/>
    <ignoredError sqref="G1780 G1263:H1263 G1447:H1447 G215:I221 I1753:I1756 I1758:I1762 G1754:H1761 G1168:H1169 G295:I295 G1877:H1878 G2123:H2125 G2307:H2307 G2497:H2499 G2558:H2558 G274:G276 H273:H277 G270:H271 G281 G1443:H1443 G269:I269 I294 H891:I920 G890:G919 H850:I872 G848:G872 G833:H837 G789:H812 G768:H773 G750:H754 G708:H733 G681:H681 G643:H651 G634:G641 I588:I591 G588:H616 H565:H587 G565:G582 G584:G587 G537:H555 G516:H518 G480:H492 H450:H455 G429:H432 G170:H170 G156:H156 G330:G331 G233:I239 H246:I247 H207:I207 G211 G222:I230 H1637 G1637:G1638 H1047 H1029 H1035 H1039:H1040 H1013:H1016 H1021:H1022 H1026 G231:I232 G246 H1883 H1885 G1508:H1508" evalError="1"/>
    <ignoredError sqref="F700" formulaRange="1"/>
    <ignoredError sqref="I150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Lirije.Dervishi</dc:creator>
  <cp:keywords/>
  <dc:description/>
  <cp:lastModifiedBy>Gani.Gashi</cp:lastModifiedBy>
  <cp:lastPrinted>2012-07-12T06:37:15Z</cp:lastPrinted>
  <dcterms:created xsi:type="dcterms:W3CDTF">2012-01-11T10:36:23Z</dcterms:created>
  <dcterms:modified xsi:type="dcterms:W3CDTF">2012-07-13T09:39:02Z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