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PRANIMET!$A$1:$L$55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L54" i="12"/>
  <c r="L50"/>
  <c r="H54" l="1"/>
  <c r="P56" i="6"/>
  <c r="L56"/>
  <c r="O57"/>
  <c r="P57"/>
  <c r="F57"/>
  <c r="E56"/>
  <c r="E55"/>
  <c r="Q54"/>
  <c r="E54"/>
  <c r="J54"/>
  <c r="H51" i="12"/>
  <c r="L49"/>
  <c r="G49"/>
  <c r="E53" i="6"/>
  <c r="G52"/>
  <c r="S52"/>
  <c r="L52"/>
  <c r="I52" l="1"/>
  <c r="M52"/>
  <c r="E52"/>
  <c r="P52"/>
  <c r="J52"/>
  <c r="H45" i="12"/>
  <c r="L51" i="6" l="1"/>
  <c r="M51"/>
  <c r="P51" l="1"/>
  <c r="N51"/>
  <c r="E51"/>
  <c r="G47"/>
  <c r="L57"/>
  <c r="N57"/>
  <c r="V57"/>
  <c r="U49"/>
  <c r="U57" s="1"/>
  <c r="J50"/>
  <c r="T50"/>
  <c r="H50"/>
  <c r="M50"/>
  <c r="S50"/>
  <c r="G50"/>
  <c r="P50"/>
  <c r="R50"/>
  <c r="I50"/>
  <c r="F50"/>
  <c r="F48" i="12"/>
  <c r="M49" i="6"/>
  <c r="M57" s="1"/>
  <c r="H49"/>
  <c r="G48"/>
  <c r="F48"/>
  <c r="J48"/>
  <c r="H48"/>
  <c r="T48"/>
  <c r="S48"/>
  <c r="R48"/>
  <c r="P47"/>
  <c r="J47"/>
  <c r="I47"/>
  <c r="I57" s="1"/>
  <c r="T47"/>
  <c r="T57" s="1"/>
  <c r="H47"/>
  <c r="H57" s="1"/>
  <c r="F46"/>
  <c r="E46" s="1"/>
  <c r="J57" l="1"/>
  <c r="E50"/>
  <c r="Q50"/>
  <c r="E47"/>
  <c r="E48"/>
  <c r="E49"/>
  <c r="K46"/>
  <c r="S46"/>
  <c r="S57" s="1"/>
  <c r="S60" s="1"/>
  <c r="R46"/>
  <c r="R57" s="1"/>
  <c r="K44" i="12"/>
  <c r="G57" i="6"/>
  <c r="F43"/>
  <c r="M43"/>
  <c r="L43"/>
  <c r="B57"/>
  <c r="Q56"/>
  <c r="K56"/>
  <c r="B56"/>
  <c r="Q55"/>
  <c r="B55"/>
  <c r="K54"/>
  <c r="D54" s="1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F43" i="12"/>
  <c r="L43" s="1"/>
  <c r="L55" s="1"/>
  <c r="G43"/>
  <c r="G55" s="1"/>
  <c r="K43"/>
  <c r="J55"/>
  <c r="H55"/>
  <c r="E55"/>
  <c r="D55"/>
  <c r="B55"/>
  <c r="C54"/>
  <c r="B54"/>
  <c r="K55"/>
  <c r="I55"/>
  <c r="F55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B43"/>
  <c r="T43" i="6"/>
  <c r="Q43" s="1"/>
  <c r="K43"/>
  <c r="D48" l="1"/>
  <c r="C48"/>
  <c r="C52"/>
  <c r="E45"/>
  <c r="C45" s="1"/>
  <c r="C49"/>
  <c r="D49"/>
  <c r="D47"/>
  <c r="D52"/>
  <c r="C50"/>
  <c r="C51"/>
  <c r="C53"/>
  <c r="D51"/>
  <c r="C47"/>
  <c r="C54"/>
  <c r="C56"/>
  <c r="D50"/>
  <c r="D56"/>
  <c r="Q46"/>
  <c r="C46" s="1"/>
  <c r="D53"/>
  <c r="K55"/>
  <c r="D55" s="1"/>
  <c r="C43" i="12"/>
  <c r="C55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H12"/>
  <c r="H9"/>
  <c r="E11"/>
  <c r="E9"/>
  <c r="E8"/>
  <c r="L8" s="1"/>
  <c r="E7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L9" l="1"/>
  <c r="L15"/>
  <c r="L7"/>
  <c r="C57" i="6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25180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23,230.96 EURO , Gjoba ne trafik55,189.00 dhe gjoba nga pyje 7.2
</t>
        </r>
      </text>
    </comment>
  </commentList>
</comments>
</file>

<file path=xl/sharedStrings.xml><?xml version="1.0" encoding="utf-8"?>
<sst xmlns="http://schemas.openxmlformats.org/spreadsheetml/2006/main" count="952" uniqueCount="879">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</sst>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  <numFmt numFmtId="170" formatCode="#,##0.000000000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sz val="9"/>
      <color indexed="8"/>
      <name val="Arial"/>
    </font>
    <font>
      <sz val="9"/>
      <color theme="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0" fontId="26" fillId="0" borderId="0" xfId="0" applyFont="1"/>
    <xf numFmtId="3" fontId="0" fillId="0" borderId="35" xfId="1" applyNumberFormat="1" applyFont="1" applyBorder="1" applyProtection="1">
      <protection hidden="1"/>
    </xf>
    <xf numFmtId="0" fontId="0" fillId="0" borderId="0" xfId="0" applyProtection="1"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  <xf numFmtId="3" fontId="1" fillId="0" borderId="10" xfId="1" applyNumberFormat="1" applyFont="1" applyBorder="1" applyAlignment="1">
      <alignment horizontal="right"/>
    </xf>
    <xf numFmtId="3" fontId="40" fillId="38" borderId="10" xfId="1" applyNumberFormat="1" applyFont="1" applyFill="1" applyBorder="1" applyAlignment="1">
      <alignment horizontal="right"/>
    </xf>
    <xf numFmtId="3" fontId="40" fillId="2" borderId="10" xfId="119" applyNumberFormat="1" applyFont="1" applyFill="1" applyBorder="1" applyAlignment="1">
      <alignment horizontal="right"/>
    </xf>
    <xf numFmtId="3" fontId="40" fillId="38" borderId="10" xfId="119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40" fillId="38" borderId="11" xfId="1" applyNumberFormat="1" applyFont="1" applyFill="1" applyBorder="1" applyAlignment="1">
      <alignment horizontal="right"/>
    </xf>
    <xf numFmtId="3" fontId="40" fillId="2" borderId="11" xfId="119" applyNumberFormat="1" applyFont="1" applyFill="1" applyBorder="1" applyAlignment="1">
      <alignment horizontal="right"/>
    </xf>
    <xf numFmtId="3" fontId="40" fillId="38" borderId="11" xfId="119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3" fontId="1" fillId="0" borderId="10" xfId="1" applyNumberFormat="1" applyFont="1" applyFill="1" applyBorder="1" applyAlignment="1">
      <alignment horizontal="right"/>
    </xf>
    <xf numFmtId="3" fontId="37" fillId="0" borderId="34" xfId="0" applyNumberFormat="1" applyFont="1" applyBorder="1" applyAlignment="1">
      <alignment wrapText="1"/>
    </xf>
    <xf numFmtId="3" fontId="21" fillId="0" borderId="13" xfId="0" applyNumberFormat="1" applyFont="1" applyBorder="1"/>
    <xf numFmtId="43" fontId="0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4" fontId="0" fillId="0" borderId="0" xfId="0" applyNumberFormat="1" applyFont="1" applyProtection="1">
      <protection hidden="1"/>
    </xf>
    <xf numFmtId="4" fontId="21" fillId="0" borderId="10" xfId="1" applyNumberFormat="1" applyFont="1" applyBorder="1" applyProtection="1">
      <protection hidden="1"/>
    </xf>
    <xf numFmtId="4" fontId="37" fillId="0" borderId="34" xfId="0" applyNumberFormat="1" applyFont="1" applyBorder="1" applyAlignment="1">
      <alignment wrapText="1"/>
    </xf>
    <xf numFmtId="4" fontId="41" fillId="0" borderId="13" xfId="0" applyNumberFormat="1" applyFont="1" applyBorder="1"/>
    <xf numFmtId="170" fontId="0" fillId="0" borderId="0" xfId="0" applyNumberFormat="1" applyFont="1" applyProtection="1">
      <protection hidden="1"/>
    </xf>
    <xf numFmtId="43" fontId="0" fillId="0" borderId="0" xfId="0" applyNumberFormat="1" applyFont="1" applyAlignment="1" applyProtection="1">
      <alignment horizontal="center"/>
      <protection hidden="1"/>
    </xf>
    <xf numFmtId="4" fontId="0" fillId="2" borderId="0" xfId="0" applyNumberFormat="1" applyFont="1" applyFill="1" applyBorder="1"/>
    <xf numFmtId="3" fontId="0" fillId="2" borderId="0" xfId="0" applyNumberFormat="1" applyFont="1" applyFill="1"/>
    <xf numFmtId="4" fontId="42" fillId="38" borderId="36" xfId="0" applyNumberFormat="1" applyFont="1" applyFill="1" applyBorder="1" applyAlignment="1" applyProtection="1">
      <alignment vertical="center" wrapText="1"/>
    </xf>
    <xf numFmtId="4" fontId="43" fillId="0" borderId="0" xfId="0" applyNumberFormat="1" applyFont="1"/>
    <xf numFmtId="4" fontId="21" fillId="2" borderId="30" xfId="1" applyNumberFormat="1" applyFont="1" applyFill="1" applyBorder="1" applyAlignment="1" applyProtection="1">
      <protection hidden="1"/>
    </xf>
    <xf numFmtId="4" fontId="21" fillId="0" borderId="10" xfId="1" applyNumberFormat="1" applyFont="1" applyBorder="1" applyAlignment="1" applyProtection="1">
      <protection hidden="1"/>
    </xf>
    <xf numFmtId="4" fontId="21" fillId="0" borderId="10" xfId="1" applyNumberFormat="1" applyFont="1" applyBorder="1" applyAlignment="1" applyProtection="1">
      <alignment horizontal="right"/>
      <protection hidden="1"/>
    </xf>
    <xf numFmtId="4" fontId="21" fillId="0" borderId="10" xfId="1" applyNumberFormat="1" applyFont="1" applyFill="1" applyBorder="1" applyAlignment="1" applyProtection="1">
      <protection hidden="1"/>
    </xf>
    <xf numFmtId="4" fontId="1" fillId="2" borderId="30" xfId="1" applyNumberFormat="1" applyFont="1" applyFill="1" applyBorder="1" applyAlignment="1" applyProtection="1">
      <protection hidden="1"/>
    </xf>
    <xf numFmtId="4" fontId="0" fillId="0" borderId="10" xfId="1" applyNumberFormat="1" applyFont="1" applyBorder="1" applyAlignment="1" applyProtection="1">
      <protection hidden="1"/>
    </xf>
    <xf numFmtId="4" fontId="0" fillId="0" borderId="10" xfId="1" applyNumberFormat="1" applyFont="1" applyBorder="1" applyAlignment="1" applyProtection="1">
      <alignment horizontal="right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4" fontId="32" fillId="0" borderId="13" xfId="0" applyNumberFormat="1" applyFont="1" applyBorder="1"/>
    <xf numFmtId="4" fontId="0" fillId="0" borderId="37" xfId="1" applyNumberFormat="1" applyFont="1" applyFill="1" applyBorder="1" applyProtection="1">
      <protection hidden="1"/>
    </xf>
    <xf numFmtId="43" fontId="0" fillId="2" borderId="0" xfId="0" applyNumberFormat="1" applyFont="1" applyFill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4" fontId="42" fillId="38" borderId="0" xfId="0" applyNumberFormat="1" applyFont="1" applyFill="1" applyBorder="1" applyAlignment="1" applyProtection="1">
      <alignment horizontal="right" vertical="center" wrapText="1"/>
    </xf>
    <xf numFmtId="4" fontId="42" fillId="38" borderId="38" xfId="0" applyNumberFormat="1" applyFont="1" applyFill="1" applyBorder="1" applyAlignment="1" applyProtection="1">
      <alignment horizontal="right" vertical="center" wrapText="1"/>
    </xf>
    <xf numFmtId="4" fontId="42" fillId="38" borderId="39" xfId="0" applyNumberFormat="1" applyFont="1" applyFill="1" applyBorder="1" applyAlignment="1" applyProtection="1">
      <alignment horizontal="right" vertical="center" wrapText="1"/>
    </xf>
    <xf numFmtId="4" fontId="42" fillId="38" borderId="40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38" fillId="0" borderId="12" xfId="1" applyNumberFormat="1" applyFont="1" applyBorder="1"/>
    <xf numFmtId="3" fontId="39" fillId="34" borderId="11" xfId="1" applyNumberFormat="1" applyFont="1" applyFill="1" applyBorder="1"/>
    <xf numFmtId="3" fontId="39" fillId="34" borderId="11" xfId="1" applyNumberFormat="1" applyFont="1" applyFill="1" applyBorder="1" applyAlignment="1">
      <alignment horizontal="center"/>
    </xf>
    <xf numFmtId="4" fontId="37" fillId="0" borderId="42" xfId="0" applyNumberFormat="1" applyFont="1" applyBorder="1" applyAlignment="1">
      <alignment wrapText="1"/>
    </xf>
    <xf numFmtId="3" fontId="0" fillId="0" borderId="12" xfId="1" applyNumberFormat="1" applyFont="1" applyBorder="1"/>
    <xf numFmtId="168" fontId="29" fillId="38" borderId="41" xfId="1" applyNumberFormat="1" applyFont="1" applyFill="1" applyBorder="1" applyAlignment="1">
      <alignment horizontal="right"/>
    </xf>
    <xf numFmtId="168" fontId="29" fillId="2" borderId="41" xfId="1" applyNumberFormat="1" applyFont="1" applyFill="1" applyBorder="1" applyAlignment="1">
      <alignment horizontal="right"/>
    </xf>
    <xf numFmtId="168" fontId="29" fillId="2" borderId="43" xfId="0" applyNumberFormat="1" applyFont="1" applyFill="1" applyBorder="1" applyAlignment="1">
      <alignment horizontal="right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87"/>
  <sheetViews>
    <sheetView zoomScaleNormal="100" zoomScaleSheetLayoutView="80" workbookViewId="0">
      <pane xSplit="2" ySplit="5" topLeftCell="C42" activePane="bottomRight" state="frozen"/>
      <selection pane="topRight" activeCell="B1" sqref="B1"/>
      <selection pane="bottomLeft" activeCell="A6" sqref="A6"/>
      <selection pane="bottomRight" activeCell="I61" sqref="I61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16.85546875" style="71" customWidth="1"/>
    <col min="4" max="4" width="14.5703125" style="71" customWidth="1"/>
    <col min="5" max="5" width="14.42578125" style="96" customWidth="1"/>
    <col min="6" max="6" width="15.28515625" style="71" customWidth="1"/>
    <col min="7" max="7" width="13.7109375" style="71" customWidth="1"/>
    <col min="8" max="8" width="16.28515625" style="71" customWidth="1"/>
    <col min="9" max="9" width="12.85546875" style="71" customWidth="1"/>
    <col min="10" max="10" width="11.42578125" style="71" customWidth="1"/>
    <col min="11" max="11" width="12.85546875" style="71" customWidth="1"/>
    <col min="12" max="12" width="15" style="71" customWidth="1"/>
    <col min="13" max="13" width="11.5703125" style="71" customWidth="1"/>
    <col min="14" max="14" width="12.140625" style="71" customWidth="1"/>
    <col min="15" max="15" width="10.140625" style="71" customWidth="1"/>
    <col min="16" max="16" width="13.42578125" style="71" customWidth="1"/>
    <col min="17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260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261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262"/>
      <c r="B3" s="262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262"/>
      <c r="B4" s="262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263"/>
      <c r="B5" s="263"/>
      <c r="C5" s="84" t="str">
        <f>IF(L!$A$1=1,L!I4,IF(L!$A$1=2,L!I13,L!I23))</f>
        <v>Gjithsejt Pagesat</v>
      </c>
      <c r="D5" s="203" t="str">
        <f>IF(L!$A$1=1,L!J4,IF(L!$A$1=2,L!J13,L!J23))</f>
        <v>Shpenzimet</v>
      </c>
      <c r="E5" s="203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03" t="s">
        <v>868</v>
      </c>
      <c r="L5" s="84" t="s">
        <v>0</v>
      </c>
      <c r="M5" s="84" t="s">
        <v>32</v>
      </c>
      <c r="N5" s="84" t="s">
        <v>33</v>
      </c>
      <c r="O5" s="204" t="s">
        <v>21</v>
      </c>
      <c r="P5" s="84" t="s">
        <v>35</v>
      </c>
      <c r="Q5" s="204" t="s">
        <v>869</v>
      </c>
      <c r="R5" s="84" t="s">
        <v>0</v>
      </c>
      <c r="S5" s="84" t="s">
        <v>32</v>
      </c>
      <c r="T5" s="84" t="s">
        <v>33</v>
      </c>
      <c r="U5" s="204" t="s">
        <v>21</v>
      </c>
      <c r="V5" s="84" t="s">
        <v>35</v>
      </c>
    </row>
    <row r="6" spans="1:22">
      <c r="A6" s="267">
        <v>2015</v>
      </c>
      <c r="B6" s="86" t="str">
        <f>IF(L!$A$1=1,L!B127,IF(L!$A$1=2,L!C127,L!D127))</f>
        <v>2015 Janar</v>
      </c>
      <c r="C6" s="87">
        <f>E6+K6+Q6</f>
        <v>1282678.73</v>
      </c>
      <c r="D6" s="202">
        <f>+E6+K6+Q6</f>
        <v>1282678.73</v>
      </c>
      <c r="E6" s="202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02">
        <f>+L6+M6+N6+O6+P6</f>
        <v>693924.45</v>
      </c>
      <c r="L6" s="135">
        <v>693517.72</v>
      </c>
      <c r="M6" s="135"/>
      <c r="N6" s="135">
        <v>406.73</v>
      </c>
      <c r="O6" s="135"/>
      <c r="P6" s="135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267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39">
        <v>80337.8</v>
      </c>
      <c r="K7" s="87">
        <f t="shared" ref="K7:K17" si="4">+L7+M7+N7+O7+P7</f>
        <v>911300.81</v>
      </c>
      <c r="L7" s="135">
        <v>697951.06</v>
      </c>
      <c r="M7" s="135">
        <v>189758.97</v>
      </c>
      <c r="N7" s="135">
        <v>22596.78</v>
      </c>
      <c r="O7" s="135"/>
      <c r="P7" s="135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267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39">
        <v>14300</v>
      </c>
      <c r="K8" s="87">
        <f t="shared" si="4"/>
        <v>775463.41</v>
      </c>
      <c r="L8" s="135">
        <v>718788.33</v>
      </c>
      <c r="M8" s="135">
        <v>46593.55</v>
      </c>
      <c r="N8" s="135">
        <v>5681.53</v>
      </c>
      <c r="O8" s="135"/>
      <c r="P8" s="135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267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39">
        <v>469996.82</v>
      </c>
      <c r="K9" s="87">
        <f t="shared" si="4"/>
        <v>848949.66000000015</v>
      </c>
      <c r="L9" s="135">
        <v>722698.8</v>
      </c>
      <c r="M9" s="135">
        <v>67562.39</v>
      </c>
      <c r="N9" s="135">
        <v>9252.67</v>
      </c>
      <c r="O9" s="135"/>
      <c r="P9" s="135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267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39">
        <v>646147.36</v>
      </c>
      <c r="K10" s="87">
        <f t="shared" si="4"/>
        <v>860673.29999999993</v>
      </c>
      <c r="L10" s="135">
        <v>739224.21</v>
      </c>
      <c r="M10" s="135">
        <v>79660.009999999995</v>
      </c>
      <c r="N10" s="135">
        <v>18925.080000000002</v>
      </c>
      <c r="O10" s="135"/>
      <c r="P10" s="135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267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39">
        <v>91237</v>
      </c>
      <c r="K11" s="87">
        <f t="shared" si="4"/>
        <v>814283.62000000011</v>
      </c>
      <c r="L11" s="135">
        <v>735400.05000000016</v>
      </c>
      <c r="M11" s="135">
        <v>51581.59</v>
      </c>
      <c r="N11" s="135">
        <v>8189.98</v>
      </c>
      <c r="O11" s="135"/>
      <c r="P11" s="135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267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39">
        <v>263532.18</v>
      </c>
      <c r="K12" s="87">
        <f t="shared" si="4"/>
        <v>818709.62</v>
      </c>
      <c r="L12" s="135">
        <v>742826</v>
      </c>
      <c r="M12" s="135">
        <v>49513.24</v>
      </c>
      <c r="N12" s="135">
        <v>5792.63</v>
      </c>
      <c r="O12" s="135"/>
      <c r="P12" s="135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267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39">
        <v>50500.5</v>
      </c>
      <c r="K13" s="87">
        <f t="shared" si="4"/>
        <v>824788.65000000014</v>
      </c>
      <c r="L13" s="136">
        <v>733093.49000000011</v>
      </c>
      <c r="M13" s="136">
        <v>46965.31</v>
      </c>
      <c r="N13" s="136">
        <v>156.04</v>
      </c>
      <c r="O13" s="136"/>
      <c r="P13" s="136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267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39">
        <v>321624.21000000002</v>
      </c>
      <c r="K14" s="87">
        <f t="shared" si="4"/>
        <v>964976.09000000008</v>
      </c>
      <c r="L14" s="135">
        <v>722199.81</v>
      </c>
      <c r="M14" s="136">
        <v>77083.41</v>
      </c>
      <c r="N14" s="136">
        <v>21805</v>
      </c>
      <c r="O14" s="136"/>
      <c r="P14" s="136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267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39">
        <v>442635.11</v>
      </c>
      <c r="K15" s="87">
        <f t="shared" si="4"/>
        <v>911838.40000000026</v>
      </c>
      <c r="L15" s="135">
        <v>743452.19000000018</v>
      </c>
      <c r="M15" s="135">
        <v>71011.66</v>
      </c>
      <c r="N15" s="135">
        <v>2960.75</v>
      </c>
      <c r="O15" s="135"/>
      <c r="P15" s="135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267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39">
        <f>344094.24</f>
        <v>344094.24</v>
      </c>
      <c r="K16" s="87">
        <f t="shared" si="4"/>
        <v>955241.60000000021</v>
      </c>
      <c r="L16" s="135">
        <v>740058.43000000017</v>
      </c>
      <c r="M16" s="135">
        <v>27725.66</v>
      </c>
      <c r="N16" s="135">
        <v>11051.75</v>
      </c>
      <c r="O16" s="135"/>
      <c r="P16" s="135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267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39">
        <v>1175993</v>
      </c>
      <c r="K17" s="87">
        <f t="shared" si="4"/>
        <v>1130683.1600000001</v>
      </c>
      <c r="L17" s="135">
        <f>738300.14-349</f>
        <v>737951.14</v>
      </c>
      <c r="M17" s="135">
        <v>77132.929999999993</v>
      </c>
      <c r="N17" s="135">
        <v>22746</v>
      </c>
      <c r="O17" s="135"/>
      <c r="P17" s="135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267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264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29">
        <f t="shared" ref="E19:E29" si="8">SUM(F19:J19)</f>
        <v>316852.89</v>
      </c>
      <c r="F19" s="131">
        <v>154590.49000000002</v>
      </c>
      <c r="G19" s="87">
        <v>98456.9</v>
      </c>
      <c r="H19" s="87">
        <v>63805.5</v>
      </c>
      <c r="I19" s="87"/>
      <c r="J19" s="87"/>
      <c r="K19" s="128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29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264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29">
        <f t="shared" si="8"/>
        <v>762270.74</v>
      </c>
      <c r="F20" s="131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28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29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264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29">
        <f t="shared" si="8"/>
        <v>693458.06</v>
      </c>
      <c r="F21" s="131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28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29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264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29">
        <f t="shared" si="8"/>
        <v>480347.33999999997</v>
      </c>
      <c r="F22" s="137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28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29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264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29">
        <f t="shared" si="8"/>
        <v>718977.06</v>
      </c>
      <c r="F23" s="131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28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29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264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29">
        <f t="shared" si="8"/>
        <v>452820.12</v>
      </c>
      <c r="F24" s="131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28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29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264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29">
        <f t="shared" si="8"/>
        <v>288788.89</v>
      </c>
      <c r="F25" s="132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28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29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264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29">
        <f t="shared" si="8"/>
        <v>740670.11999999988</v>
      </c>
      <c r="F26" s="138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28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29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264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29">
        <f t="shared" si="8"/>
        <v>542808.03</v>
      </c>
      <c r="F27" s="131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28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29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265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29">
        <f t="shared" si="8"/>
        <v>676001.67999999993</v>
      </c>
      <c r="F28" s="133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28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29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265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29">
        <f t="shared" si="8"/>
        <v>1088413.47</v>
      </c>
      <c r="F29" s="133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28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29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265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29">
        <f t="shared" ref="E30:E43" si="10">SUM(F30:J30)</f>
        <v>1475863.46</v>
      </c>
      <c r="F30" s="134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28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29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0" customFormat="1">
      <c r="A31" s="266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264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29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3">
        <v>743940</v>
      </c>
      <c r="M32" s="123"/>
      <c r="N32" s="123"/>
      <c r="O32" s="123"/>
      <c r="P32" s="123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264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29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4">
        <v>742158.33</v>
      </c>
      <c r="M33" s="125">
        <v>89821.3</v>
      </c>
      <c r="N33" s="125">
        <v>22399.08</v>
      </c>
      <c r="O33" s="125"/>
      <c r="P33" s="124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264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29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4">
        <v>764270.35</v>
      </c>
      <c r="M34" s="125">
        <v>122432.65</v>
      </c>
      <c r="N34" s="125">
        <v>10524.55</v>
      </c>
      <c r="O34" s="125"/>
      <c r="P34" s="124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264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29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4">
        <v>743448.58</v>
      </c>
      <c r="M35" s="124">
        <v>30801.32</v>
      </c>
      <c r="N35" s="124">
        <v>19744.310000000001</v>
      </c>
      <c r="O35" s="124"/>
      <c r="P35" s="124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264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29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4">
        <v>740923.25</v>
      </c>
      <c r="M36" s="124">
        <v>80958.73</v>
      </c>
      <c r="N36" s="124">
        <v>11851.5</v>
      </c>
      <c r="O36" s="124"/>
      <c r="P36" s="124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264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29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4">
        <v>744980.07</v>
      </c>
      <c r="M37" s="124">
        <v>62522.77</v>
      </c>
      <c r="N37" s="124">
        <v>3574.78</v>
      </c>
      <c r="O37" s="124"/>
      <c r="P37" s="124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264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29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5">
        <v>745505.72</v>
      </c>
      <c r="M38" s="135">
        <v>38152.449999999997</v>
      </c>
      <c r="N38" s="135">
        <v>8872.4500000000007</v>
      </c>
      <c r="O38" s="135"/>
      <c r="P38" s="135">
        <v>73212.36</v>
      </c>
      <c r="Q38" s="135">
        <f>SUM(R38:V38)</f>
        <v>252017.09000000003</v>
      </c>
      <c r="R38" s="135">
        <f>2636.6+200428.47+9186.29</f>
        <v>212251.36000000002</v>
      </c>
      <c r="S38" s="135">
        <f>464.91+17622.43+2868.04</f>
        <v>20955.38</v>
      </c>
      <c r="T38" s="135">
        <f>918.62+5362.73</f>
        <v>6281.3499999999995</v>
      </c>
      <c r="U38" s="135"/>
      <c r="V38" s="135">
        <v>12529</v>
      </c>
    </row>
    <row r="39" spans="1:22">
      <c r="A39" s="264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29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6">
        <v>727209.57</v>
      </c>
      <c r="M39" s="136">
        <v>88169.4</v>
      </c>
      <c r="N39" s="136">
        <v>13848.09</v>
      </c>
      <c r="O39" s="136"/>
      <c r="P39" s="136">
        <v>273267.62</v>
      </c>
      <c r="Q39" s="135">
        <f>SUM(R39:V39)</f>
        <v>312360.16000000003</v>
      </c>
      <c r="R39" s="135">
        <f>2636.6+197448.51+8716.16</f>
        <v>208801.27000000002</v>
      </c>
      <c r="S39" s="135">
        <f>445.5+82409.14+137</f>
        <v>82991.64</v>
      </c>
      <c r="T39" s="135">
        <f>107.38+6114.08+745.89</f>
        <v>6967.35</v>
      </c>
      <c r="U39" s="135"/>
      <c r="V39" s="135">
        <v>13599.9</v>
      </c>
    </row>
    <row r="40" spans="1:22">
      <c r="A40" s="264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29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5">
        <v>726408.47</v>
      </c>
      <c r="M40" s="135">
        <v>54389.8</v>
      </c>
      <c r="N40" s="135">
        <v>1472.57</v>
      </c>
      <c r="O40" s="135"/>
      <c r="P40" s="135">
        <v>114608.6</v>
      </c>
      <c r="Q40" s="135">
        <f t="shared" ref="Q40:Q43" si="16">SUM(R40:V40)</f>
        <v>241002.92</v>
      </c>
      <c r="R40" s="135">
        <f>2636.6+195503.24+8716.16</f>
        <v>206856</v>
      </c>
      <c r="S40" s="135">
        <f>549.43+15070.88+334.06</f>
        <v>15954.369999999999</v>
      </c>
      <c r="T40" s="135">
        <v>8847.7000000000007</v>
      </c>
      <c r="U40" s="135"/>
      <c r="V40" s="135">
        <v>9344.85</v>
      </c>
    </row>
    <row r="41" spans="1:22">
      <c r="A41" s="265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29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5">
        <v>732208.44</v>
      </c>
      <c r="M41" s="135">
        <v>71900.820000000007</v>
      </c>
      <c r="N41" s="135">
        <v>13027.76</v>
      </c>
      <c r="O41" s="135"/>
      <c r="P41" s="135">
        <v>72781.759999999995</v>
      </c>
      <c r="Q41" s="135">
        <f t="shared" si="16"/>
        <v>369285.21</v>
      </c>
      <c r="R41" s="135">
        <f>2636.6+197570.95+8716.16</f>
        <v>208923.71000000002</v>
      </c>
      <c r="S41" s="135">
        <f>281.72+49880.12+565.57</f>
        <v>50727.41</v>
      </c>
      <c r="T41" s="135">
        <f>241.72+9626.67</f>
        <v>9868.39</v>
      </c>
      <c r="U41" s="135"/>
      <c r="V41" s="135">
        <f>78126.7+20000+1639</f>
        <v>99765.7</v>
      </c>
    </row>
    <row r="42" spans="1:22">
      <c r="A42" s="265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7">
        <f t="shared" si="10"/>
        <v>809705.4800000001</v>
      </c>
      <c r="F42" s="140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5">
        <f>740002.76+787.42</f>
        <v>740790.18</v>
      </c>
      <c r="M42" s="135">
        <v>132937.51</v>
      </c>
      <c r="N42" s="135">
        <v>18121.54</v>
      </c>
      <c r="O42" s="135"/>
      <c r="P42" s="135">
        <v>47751.48</v>
      </c>
      <c r="Q42" s="135">
        <f t="shared" si="16"/>
        <v>388016.49999999994</v>
      </c>
      <c r="R42" s="135">
        <v>348605.42999999993</v>
      </c>
      <c r="S42" s="135">
        <v>4843.08</v>
      </c>
      <c r="T42" s="135">
        <v>20772.990000000002</v>
      </c>
      <c r="U42" s="135"/>
      <c r="V42" s="135">
        <v>13795</v>
      </c>
    </row>
    <row r="43" spans="1:22">
      <c r="A43" s="265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7">
        <f t="shared" si="10"/>
        <v>1215550</v>
      </c>
      <c r="F43" s="142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5">
        <f>738302.32+663</f>
        <v>738965.32</v>
      </c>
      <c r="M43" s="135">
        <f>64487.59+12156</f>
        <v>76643.59</v>
      </c>
      <c r="N43" s="135">
        <v>8517.2099999999991</v>
      </c>
      <c r="O43" s="135"/>
      <c r="P43" s="135">
        <v>15739.24</v>
      </c>
      <c r="Q43" s="135">
        <f t="shared" si="16"/>
        <v>181028.15000000002</v>
      </c>
      <c r="R43" s="135">
        <v>69725.279999999999</v>
      </c>
      <c r="S43" s="135">
        <v>56548.73</v>
      </c>
      <c r="T43" s="135">
        <f>15475.04-5245</f>
        <v>10230.040000000001</v>
      </c>
      <c r="U43" s="135">
        <v>8500</v>
      </c>
      <c r="V43" s="135">
        <v>36024.1</v>
      </c>
    </row>
    <row r="44" spans="1:22">
      <c r="A44" s="266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6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06">
        <f t="shared" ref="L44:P44" si="19">SUM(L32:L43)</f>
        <v>8890808.2799999993</v>
      </c>
      <c r="M44" s="206">
        <f t="shared" si="19"/>
        <v>848730.34</v>
      </c>
      <c r="N44" s="206">
        <f t="shared" si="19"/>
        <v>131953.84</v>
      </c>
      <c r="O44" s="206">
        <f t="shared" si="19"/>
        <v>0</v>
      </c>
      <c r="P44" s="206">
        <f t="shared" si="19"/>
        <v>772559.72</v>
      </c>
      <c r="Q44" s="206">
        <f>SUM(R44:V44)</f>
        <v>3332142.4499999993</v>
      </c>
      <c r="R44" s="206">
        <f t="shared" ref="R44:V44" si="20">SUM(R32:R43)</f>
        <v>2499008.9199999995</v>
      </c>
      <c r="S44" s="206">
        <f t="shared" si="20"/>
        <v>489702.07</v>
      </c>
      <c r="T44" s="206">
        <f>SUM(T33:T43)</f>
        <v>106185.66</v>
      </c>
      <c r="U44" s="206">
        <f t="shared" si="20"/>
        <v>18050</v>
      </c>
      <c r="V44" s="206">
        <f t="shared" si="20"/>
        <v>219195.80000000002</v>
      </c>
    </row>
    <row r="45" spans="1:22">
      <c r="A45" s="264">
        <v>2018</v>
      </c>
      <c r="B45" s="86" t="str">
        <f>IF(L!$A$1=1,L!B166,IF(L!$A$1=2,L!C166,L!D166))</f>
        <v>2018 Janar</v>
      </c>
      <c r="C45" s="135">
        <f t="shared" ref="C45:C57" si="21">E45+K45+Q45</f>
        <v>1903081.1600000001</v>
      </c>
      <c r="D45" s="135">
        <f t="shared" ref="D45:D56" si="22">+E45+K45+Q45</f>
        <v>1903081.1600000001</v>
      </c>
      <c r="E45" s="241">
        <f t="shared" si="17"/>
        <v>630405.65</v>
      </c>
      <c r="F45" s="242">
        <v>151110.51999999999</v>
      </c>
      <c r="G45" s="242">
        <v>207337</v>
      </c>
      <c r="H45" s="242">
        <v>57634.53</v>
      </c>
      <c r="I45" s="242"/>
      <c r="J45" s="243">
        <v>214323.6</v>
      </c>
      <c r="K45" s="212">
        <f t="shared" ref="K45:K50" si="23">SUM(L45:P45)</f>
        <v>922954.33000000007</v>
      </c>
      <c r="L45" s="213">
        <v>765617.54</v>
      </c>
      <c r="M45" s="213">
        <v>74096.740000000005</v>
      </c>
      <c r="N45" s="213">
        <v>10247.049999999999</v>
      </c>
      <c r="O45" s="210"/>
      <c r="P45" s="210">
        <v>72993</v>
      </c>
      <c r="Q45" s="135">
        <f t="shared" ref="Q45:Q50" si="24">SUM(R45:V45)</f>
        <v>349721.18000000005</v>
      </c>
      <c r="R45" s="212">
        <v>215314.59</v>
      </c>
      <c r="S45" s="135">
        <v>81425.73</v>
      </c>
      <c r="T45" s="207">
        <v>20166.46</v>
      </c>
      <c r="U45" s="135"/>
      <c r="V45" s="135">
        <v>32814.400000000001</v>
      </c>
    </row>
    <row r="46" spans="1:22">
      <c r="A46" s="264"/>
      <c r="B46" s="86" t="str">
        <f>IF(L!$A$1=1,L!B167,IF(L!$A$1=2,L!C167,L!D167))</f>
        <v>2018 Shkurt</v>
      </c>
      <c r="C46" s="135">
        <f t="shared" si="21"/>
        <v>2344721.0500000003</v>
      </c>
      <c r="D46" s="135">
        <f t="shared" si="22"/>
        <v>2344721.0500000003</v>
      </c>
      <c r="E46" s="241">
        <f t="shared" si="17"/>
        <v>1066536.8500000001</v>
      </c>
      <c r="F46" s="242">
        <f>376247.45-2733.94-204277.62-9088.93</f>
        <v>160146.96000000002</v>
      </c>
      <c r="G46" s="244">
        <v>189704.4</v>
      </c>
      <c r="H46" s="244">
        <v>52794.96</v>
      </c>
      <c r="I46" s="244">
        <v>2000</v>
      </c>
      <c r="J46" s="243">
        <v>661890.53</v>
      </c>
      <c r="K46" s="212">
        <f t="shared" si="23"/>
        <v>999265.12</v>
      </c>
      <c r="L46" s="212">
        <v>783043.99</v>
      </c>
      <c r="M46" s="214">
        <v>135649.06</v>
      </c>
      <c r="N46" s="214">
        <v>17169.37</v>
      </c>
      <c r="O46" s="208"/>
      <c r="P46" s="135">
        <v>63402.7</v>
      </c>
      <c r="Q46" s="135">
        <f t="shared" si="24"/>
        <v>278919.08</v>
      </c>
      <c r="R46" s="135">
        <f>2733.94+204277.62+9088.93</f>
        <v>216100.49</v>
      </c>
      <c r="S46" s="208">
        <f>264.48+45009.2+2725.5</f>
        <v>47999.18</v>
      </c>
      <c r="T46" s="135">
        <v>5934.51</v>
      </c>
      <c r="U46" s="208"/>
      <c r="V46" s="135">
        <v>8884.9</v>
      </c>
    </row>
    <row r="47" spans="1:22">
      <c r="A47" s="264"/>
      <c r="B47" s="86" t="str">
        <f>IF(L!$A$1=1,L!B168,IF(L!$A$1=2,L!C168,L!D168))</f>
        <v xml:space="preserve">2018 Mars </v>
      </c>
      <c r="C47" s="135">
        <f t="shared" si="21"/>
        <v>1883893.77</v>
      </c>
      <c r="D47" s="135">
        <f t="shared" si="22"/>
        <v>1883893.77</v>
      </c>
      <c r="E47" s="241">
        <f t="shared" si="17"/>
        <v>702467.41999999993</v>
      </c>
      <c r="F47" s="242">
        <v>155923.15</v>
      </c>
      <c r="G47" s="244">
        <f>138864.64-379.3</f>
        <v>138485.34000000003</v>
      </c>
      <c r="H47" s="244">
        <f>2852.8+19941.34+1604.63+8167.76</f>
        <v>32566.53</v>
      </c>
      <c r="I47" s="244">
        <f>46000+16000</f>
        <v>62000</v>
      </c>
      <c r="J47" s="243">
        <f>4563.05+55426.78+1154.96+103385.5+20151.88+120168.93+8641.3</f>
        <v>313492.39999999997</v>
      </c>
      <c r="K47" s="212">
        <f t="shared" si="23"/>
        <v>914210.39</v>
      </c>
      <c r="L47" s="212">
        <v>760597.15000000014</v>
      </c>
      <c r="M47" s="214">
        <v>96267.199999999997</v>
      </c>
      <c r="N47" s="214">
        <v>9412.84</v>
      </c>
      <c r="O47" s="208"/>
      <c r="P47" s="135">
        <f>32949.7+14983.5</f>
        <v>47933.2</v>
      </c>
      <c r="Q47" s="135">
        <f t="shared" si="24"/>
        <v>267215.96000000002</v>
      </c>
      <c r="R47" s="135">
        <v>213126.64</v>
      </c>
      <c r="S47" s="208">
        <v>38617</v>
      </c>
      <c r="T47" s="208">
        <f>3640.97+541.35</f>
        <v>4182.32</v>
      </c>
      <c r="U47" s="208"/>
      <c r="V47" s="135">
        <v>11290</v>
      </c>
    </row>
    <row r="48" spans="1:22">
      <c r="A48" s="264"/>
      <c r="B48" s="86" t="str">
        <f>IF(L!$A$1=1,L!B169,IF(L!$A$1=2,L!C169,L!D169))</f>
        <v>2018 Prill</v>
      </c>
      <c r="C48" s="135">
        <f t="shared" si="21"/>
        <v>1940573.01</v>
      </c>
      <c r="D48" s="124">
        <f t="shared" si="22"/>
        <v>1940573.01</v>
      </c>
      <c r="E48" s="241">
        <f t="shared" si="17"/>
        <v>686205.89999999991</v>
      </c>
      <c r="F48" s="242">
        <f>368158.8-2733.94-202065.3-9088.93</f>
        <v>154270.63</v>
      </c>
      <c r="G48" s="242">
        <f>279831.15-929.82-73342.77-2026.46</f>
        <v>203532.1</v>
      </c>
      <c r="H48" s="242">
        <f>57468.19-1907.26-11213.05</f>
        <v>44347.880000000005</v>
      </c>
      <c r="I48" s="242">
        <v>37117.599999999999</v>
      </c>
      <c r="J48" s="243">
        <f>278417.69-31480</f>
        <v>246937.69</v>
      </c>
      <c r="K48" s="212">
        <f t="shared" si="23"/>
        <v>919579.58</v>
      </c>
      <c r="L48" s="212">
        <v>759811.7</v>
      </c>
      <c r="M48" s="212">
        <v>89425.26</v>
      </c>
      <c r="N48" s="212">
        <v>21779.35</v>
      </c>
      <c r="O48" s="135"/>
      <c r="P48" s="135">
        <v>48563.27</v>
      </c>
      <c r="Q48" s="135">
        <f t="shared" si="24"/>
        <v>334787.52999999997</v>
      </c>
      <c r="R48" s="135">
        <f>2733.94+202065.3+9088.93</f>
        <v>213888.16999999998</v>
      </c>
      <c r="S48" s="135">
        <f>929.82+73342.77+2026.46</f>
        <v>76299.050000000017</v>
      </c>
      <c r="T48" s="208">
        <f>1907.26+11213.05</f>
        <v>13120.31</v>
      </c>
      <c r="U48" s="135"/>
      <c r="V48" s="135">
        <v>31480</v>
      </c>
    </row>
    <row r="49" spans="1:22">
      <c r="A49" s="264"/>
      <c r="B49" s="86" t="str">
        <f>IF(L!$A$1=1,L!B170,IF(L!$A$1=2,L!C170,L!D170))</f>
        <v>2018 Maj</v>
      </c>
      <c r="C49" s="135">
        <f t="shared" si="21"/>
        <v>1647091.5899999999</v>
      </c>
      <c r="D49" s="124">
        <f t="shared" si="22"/>
        <v>1647091.5899999999</v>
      </c>
      <c r="E49" s="245">
        <f t="shared" si="17"/>
        <v>507296.81999999995</v>
      </c>
      <c r="F49" s="246">
        <v>154287</v>
      </c>
      <c r="G49" s="246">
        <v>121627</v>
      </c>
      <c r="H49" s="246">
        <f>46486-727.62-8072.78</f>
        <v>37685.599999999999</v>
      </c>
      <c r="I49" s="246">
        <v>46500</v>
      </c>
      <c r="J49" s="247">
        <v>147197.22</v>
      </c>
      <c r="K49" s="135">
        <f t="shared" si="23"/>
        <v>833032.1</v>
      </c>
      <c r="L49" s="135">
        <v>764397.72</v>
      </c>
      <c r="M49" s="135">
        <f>68634.38-8542.11</f>
        <v>60092.270000000004</v>
      </c>
      <c r="N49" s="135">
        <v>8542.11</v>
      </c>
      <c r="O49" s="135"/>
      <c r="P49" s="135"/>
      <c r="Q49" s="135">
        <f t="shared" si="24"/>
        <v>306762.67</v>
      </c>
      <c r="R49" s="135">
        <v>213819.73</v>
      </c>
      <c r="S49" s="135">
        <v>35055</v>
      </c>
      <c r="T49" s="135">
        <v>8800</v>
      </c>
      <c r="U49" s="135">
        <f>16000-900</f>
        <v>15100</v>
      </c>
      <c r="V49" s="207">
        <v>33987.94</v>
      </c>
    </row>
    <row r="50" spans="1:22">
      <c r="A50" s="264"/>
      <c r="B50" s="86" t="str">
        <f>IF(L!$A$1=1,L!B171,IF(L!$A$1=2,L!C171,L!D171))</f>
        <v>2018 Qershor</v>
      </c>
      <c r="C50" s="135">
        <f t="shared" si="21"/>
        <v>1712482.94</v>
      </c>
      <c r="D50" s="124">
        <f t="shared" si="22"/>
        <v>1712482.94</v>
      </c>
      <c r="E50" s="245">
        <f t="shared" si="17"/>
        <v>569679.85</v>
      </c>
      <c r="F50" s="246">
        <f>375525.42-213980</f>
        <v>161545.41999999998</v>
      </c>
      <c r="G50" s="246">
        <f>89778.86-246.07-307.9-27943.99</f>
        <v>61280.899999999994</v>
      </c>
      <c r="H50" s="246">
        <f>30837.14-354.12-4469.2</f>
        <v>26013.82</v>
      </c>
      <c r="I50" s="246">
        <f>1907+22495.95+13882.2</f>
        <v>38285.15</v>
      </c>
      <c r="J50" s="247">
        <f>295023.27-12468.71</f>
        <v>282554.56</v>
      </c>
      <c r="K50" s="135">
        <f t="shared" si="23"/>
        <v>891264.75999999989</v>
      </c>
      <c r="L50" s="135">
        <v>762626.97</v>
      </c>
      <c r="M50" s="135">
        <f>128637.79-76154.2-2788</f>
        <v>49695.59</v>
      </c>
      <c r="N50" s="135"/>
      <c r="O50" s="135"/>
      <c r="P50" s="135">
        <f>76154.2+2788</f>
        <v>78942.2</v>
      </c>
      <c r="Q50" s="135">
        <f t="shared" si="24"/>
        <v>251538.33000000002</v>
      </c>
      <c r="R50" s="135">
        <f>202063.54+2733.94+9182.47</f>
        <v>213979.95</v>
      </c>
      <c r="S50" s="135">
        <f>27943.99+307.9+246.07</f>
        <v>28497.960000000003</v>
      </c>
      <c r="T50" s="135">
        <f>4469.2+354.12</f>
        <v>4823.32</v>
      </c>
      <c r="U50" s="135">
        <v>800</v>
      </c>
      <c r="V50" s="135">
        <v>3437.1</v>
      </c>
    </row>
    <row r="51" spans="1:22">
      <c r="A51" s="264"/>
      <c r="B51" s="86" t="str">
        <f>IF(L!$A$1=1,L!B172,IF(L!$A$1=2,L!C172,L!D172))</f>
        <v>2018 Korrik</v>
      </c>
      <c r="C51" s="87">
        <f t="shared" si="21"/>
        <v>2924949.8</v>
      </c>
      <c r="D51" s="124">
        <f t="shared" si="22"/>
        <v>2924949.8</v>
      </c>
      <c r="E51" s="245">
        <f t="shared" si="17"/>
        <v>1637767.74</v>
      </c>
      <c r="F51" s="246">
        <v>157459.29</v>
      </c>
      <c r="G51" s="246">
        <v>142815.98000000001</v>
      </c>
      <c r="H51" s="246">
        <v>34993.910000000003</v>
      </c>
      <c r="I51" s="246">
        <v>65919.199999999997</v>
      </c>
      <c r="J51" s="248">
        <v>1236579.3599999999</v>
      </c>
      <c r="K51" s="87">
        <f>SUM(L51:P51)</f>
        <v>987922.53999999992</v>
      </c>
      <c r="L51" s="124">
        <f>744178.09+30748.48</f>
        <v>774926.57</v>
      </c>
      <c r="M51" s="124">
        <f>523.3+970+369.5+5747+600+410.87+2249.94+1260+7102.48+965.58+3178.5+140+2390.4+153+3518+120+1957.6+15+168.3</f>
        <v>31839.47</v>
      </c>
      <c r="N51" s="124">
        <f>5464.43+4153.98+16697.15+998.04</f>
        <v>27313.600000000002</v>
      </c>
      <c r="O51" s="124"/>
      <c r="P51" s="232">
        <f>66.44+90392.8+63383.66</f>
        <v>153842.90000000002</v>
      </c>
      <c r="Q51" s="87">
        <f>SUM(R51:V51)</f>
        <v>299259.52000000002</v>
      </c>
      <c r="R51" s="87">
        <v>212867.15</v>
      </c>
      <c r="S51" s="87">
        <v>63583.5</v>
      </c>
      <c r="T51" s="87">
        <v>11059.31</v>
      </c>
      <c r="U51" s="87">
        <v>1900</v>
      </c>
      <c r="V51" s="139">
        <v>9849.56</v>
      </c>
    </row>
    <row r="52" spans="1:22">
      <c r="A52" s="264"/>
      <c r="B52" s="86" t="str">
        <f>IF(L!$A$1=1,L!B173,IF(L!$A$1=2,L!C173,L!D173))</f>
        <v>2018 Gusht</v>
      </c>
      <c r="C52" s="87">
        <f t="shared" si="21"/>
        <v>1778530.55</v>
      </c>
      <c r="D52" s="124">
        <f t="shared" si="22"/>
        <v>1778530.55</v>
      </c>
      <c r="E52" s="245">
        <f t="shared" si="17"/>
        <v>569796.5</v>
      </c>
      <c r="F52" s="124">
        <v>158797.20000000001</v>
      </c>
      <c r="G52" s="124">
        <f>167795.34-48163-16657.98</f>
        <v>102974.36</v>
      </c>
      <c r="H52" s="124">
        <v>16832.240000000002</v>
      </c>
      <c r="I52" s="124">
        <f>12701.8+1500+8368.2</f>
        <v>22570</v>
      </c>
      <c r="J52" s="247">
        <f>353227.2-67893.3-16711.2</f>
        <v>268622.7</v>
      </c>
      <c r="K52" s="87">
        <f t="shared" ref="K52:K56" si="25">SUM(L52:P52)</f>
        <v>917754.8</v>
      </c>
      <c r="L52" s="126">
        <f>752834.79+544.13</f>
        <v>753378.92</v>
      </c>
      <c r="M52" s="126">
        <f>79771.38-N52</f>
        <v>78617.52</v>
      </c>
      <c r="N52" s="126">
        <v>1153.8599999999999</v>
      </c>
      <c r="O52" s="126"/>
      <c r="P52" s="126">
        <f>67893.3+16711.2</f>
        <v>84604.5</v>
      </c>
      <c r="Q52" s="87">
        <f>SUM(R52:V52)</f>
        <v>290979.25</v>
      </c>
      <c r="R52" s="87">
        <v>211299.75</v>
      </c>
      <c r="S52" s="87">
        <f>1133+29299.4+307.43+13507.43</f>
        <v>44247.26</v>
      </c>
      <c r="T52" s="87">
        <v>3741.44</v>
      </c>
      <c r="U52" s="87">
        <v>1900</v>
      </c>
      <c r="V52" s="87">
        <v>29790.799999999999</v>
      </c>
    </row>
    <row r="53" spans="1:22">
      <c r="A53" s="264"/>
      <c r="B53" s="86" t="str">
        <f>IF(L!$A$1=1,L!B174,IF(L!$A$1=2,L!C174,L!D174))</f>
        <v>2018 Shtator</v>
      </c>
      <c r="C53" s="87">
        <f t="shared" si="21"/>
        <v>1801836.3500000003</v>
      </c>
      <c r="D53" s="124">
        <f t="shared" si="22"/>
        <v>1801836.3500000003</v>
      </c>
      <c r="E53" s="245">
        <f t="shared" si="17"/>
        <v>703236.57000000007</v>
      </c>
      <c r="F53" s="124">
        <v>155570.15</v>
      </c>
      <c r="G53" s="124">
        <v>73470.179999999993</v>
      </c>
      <c r="H53" s="124">
        <v>20963.28</v>
      </c>
      <c r="I53" s="124">
        <v>4490</v>
      </c>
      <c r="J53" s="124">
        <v>448742.96</v>
      </c>
      <c r="K53" s="87">
        <f t="shared" si="25"/>
        <v>867232.19000000018</v>
      </c>
      <c r="L53" s="124">
        <v>751769.92</v>
      </c>
      <c r="M53" s="124">
        <v>39134.69</v>
      </c>
      <c r="N53" s="124">
        <v>979.68</v>
      </c>
      <c r="O53" s="124"/>
      <c r="P53" s="124">
        <v>75347.899999999994</v>
      </c>
      <c r="Q53" s="87">
        <f t="shared" ref="Q53:Q56" si="26">SUM(R53:V53)</f>
        <v>231367.59</v>
      </c>
      <c r="R53" s="87">
        <v>214409.33</v>
      </c>
      <c r="S53" s="87">
        <v>16823</v>
      </c>
      <c r="T53" s="87">
        <v>135.26</v>
      </c>
      <c r="U53" s="87"/>
      <c r="V53" s="87"/>
    </row>
    <row r="54" spans="1:22">
      <c r="A54" s="265"/>
      <c r="B54" s="86" t="str">
        <f>IF(L!$A$1=1,L!B175,IF(L!$A$1=2,L!C175,L!D175))</f>
        <v>2018 Tetor</v>
      </c>
      <c r="C54" s="87">
        <f t="shared" si="21"/>
        <v>2232204.09</v>
      </c>
      <c r="D54" s="124">
        <f t="shared" si="22"/>
        <v>2232204.09</v>
      </c>
      <c r="E54" s="245">
        <f t="shared" si="17"/>
        <v>1032139.23</v>
      </c>
      <c r="F54" s="124">
        <v>157295.32</v>
      </c>
      <c r="G54" s="124">
        <v>96623.3</v>
      </c>
      <c r="H54" s="124">
        <v>47609.440000000002</v>
      </c>
      <c r="I54" s="124"/>
      <c r="J54" s="124">
        <f>734638.17-4027</f>
        <v>730611.17</v>
      </c>
      <c r="K54" s="87">
        <f t="shared" si="25"/>
        <v>922967.3</v>
      </c>
      <c r="L54" s="87">
        <v>751234.27</v>
      </c>
      <c r="M54" s="239">
        <v>20565.169999999998</v>
      </c>
      <c r="N54" s="240">
        <v>21824.46</v>
      </c>
      <c r="O54" s="239"/>
      <c r="P54" s="239">
        <v>129343.4</v>
      </c>
      <c r="Q54" s="87">
        <f t="shared" si="26"/>
        <v>277097.56</v>
      </c>
      <c r="R54" s="87">
        <v>212615.29</v>
      </c>
      <c r="S54" s="87">
        <v>49634.2</v>
      </c>
      <c r="T54" s="87">
        <v>10721.07</v>
      </c>
      <c r="U54" s="87">
        <v>100</v>
      </c>
      <c r="V54" s="87">
        <v>4027</v>
      </c>
    </row>
    <row r="55" spans="1:22">
      <c r="A55" s="265"/>
      <c r="B55" s="86" t="str">
        <f>IF(L!$A$1=1,L!B176,IF(L!$A$1=2,L!C176,L!D176))</f>
        <v xml:space="preserve">2018 Nëntor </v>
      </c>
      <c r="C55" s="87">
        <f t="shared" si="21"/>
        <v>2141106.08</v>
      </c>
      <c r="D55" s="87">
        <f t="shared" si="22"/>
        <v>2141106.08</v>
      </c>
      <c r="E55" s="245">
        <f t="shared" si="17"/>
        <v>889220.08000000007</v>
      </c>
      <c r="F55" s="249">
        <v>156487.67999999999</v>
      </c>
      <c r="G55" s="250">
        <v>68806.37</v>
      </c>
      <c r="H55" s="124">
        <v>38184.589999999997</v>
      </c>
      <c r="I55" s="124">
        <v>778.4</v>
      </c>
      <c r="J55" s="124">
        <v>624963.04</v>
      </c>
      <c r="K55" s="87">
        <f t="shared" si="25"/>
        <v>964471.94000000006</v>
      </c>
      <c r="L55" s="87">
        <v>750354.39</v>
      </c>
      <c r="M55" s="87">
        <v>108485.68</v>
      </c>
      <c r="N55" s="87">
        <v>10324.870000000001</v>
      </c>
      <c r="O55" s="87"/>
      <c r="P55" s="87">
        <v>95307</v>
      </c>
      <c r="Q55" s="87">
        <f t="shared" si="26"/>
        <v>287414.06</v>
      </c>
      <c r="R55" s="87">
        <v>212210.47</v>
      </c>
      <c r="S55" s="87">
        <v>60214</v>
      </c>
      <c r="T55" s="87">
        <v>5489.59</v>
      </c>
      <c r="U55" s="87"/>
      <c r="V55" s="87">
        <v>9500</v>
      </c>
    </row>
    <row r="56" spans="1:22">
      <c r="A56" s="265"/>
      <c r="B56" s="86" t="str">
        <f>IF(L!$A$1=1,L!B177,IF(L!$A$1=2,L!C177,L!D177))</f>
        <v>2018 Dhjetor</v>
      </c>
      <c r="C56" s="87">
        <f t="shared" si="21"/>
        <v>2493940.1799999997</v>
      </c>
      <c r="D56" s="87">
        <f t="shared" si="22"/>
        <v>2493940.1799999997</v>
      </c>
      <c r="E56" s="245">
        <f t="shared" si="17"/>
        <v>1210116.45</v>
      </c>
      <c r="F56" s="142">
        <v>185547.95</v>
      </c>
      <c r="G56" s="87">
        <v>28173.5</v>
      </c>
      <c r="H56" s="87">
        <v>58055</v>
      </c>
      <c r="I56" s="87">
        <v>800</v>
      </c>
      <c r="J56" s="87">
        <v>937540</v>
      </c>
      <c r="K56" s="87">
        <f t="shared" si="25"/>
        <v>994641.35</v>
      </c>
      <c r="L56" s="87">
        <f>791718.12+75.47</f>
        <v>791793.59</v>
      </c>
      <c r="M56" s="87">
        <v>48405</v>
      </c>
      <c r="N56" s="87">
        <v>4707.9799999999996</v>
      </c>
      <c r="O56" s="87"/>
      <c r="P56" s="87">
        <f>127841.48+21893.3</f>
        <v>149734.78</v>
      </c>
      <c r="Q56" s="87">
        <f t="shared" si="26"/>
        <v>289182.38</v>
      </c>
      <c r="R56" s="87">
        <v>216430.34</v>
      </c>
      <c r="S56" s="87">
        <v>24589.59</v>
      </c>
      <c r="T56" s="87">
        <v>17307</v>
      </c>
      <c r="U56" s="87"/>
      <c r="V56" s="87">
        <v>30855.45</v>
      </c>
    </row>
    <row r="57" spans="1:22">
      <c r="A57" s="266"/>
      <c r="B57" s="93" t="str">
        <f>IF(L!$A$1=1,L!B178,IF(L!$A$1=2,L!C178,L!D178))</f>
        <v>Gjithsej 2018</v>
      </c>
      <c r="C57" s="94">
        <f t="shared" si="21"/>
        <v>24804410.57</v>
      </c>
      <c r="D57" s="95">
        <f>SUM(D45:D56)</f>
        <v>24804410.57</v>
      </c>
      <c r="E57" s="95">
        <f t="shared" ref="E57:V57" si="27">SUM(E45:E56)</f>
        <v>10204869.059999999</v>
      </c>
      <c r="F57" s="95">
        <f t="shared" si="27"/>
        <v>1908441.2699999998</v>
      </c>
      <c r="G57" s="95">
        <f t="shared" si="27"/>
        <v>1434830.4300000002</v>
      </c>
      <c r="H57" s="95">
        <f t="shared" si="27"/>
        <v>467681.78</v>
      </c>
      <c r="I57" s="95">
        <f t="shared" si="27"/>
        <v>280460.35000000003</v>
      </c>
      <c r="J57" s="95">
        <f t="shared" si="27"/>
        <v>6113455.2300000004</v>
      </c>
      <c r="K57" s="95">
        <f t="shared" si="27"/>
        <v>11135296.4</v>
      </c>
      <c r="L57" s="95">
        <f t="shared" si="27"/>
        <v>9169552.7300000004</v>
      </c>
      <c r="M57" s="95">
        <f t="shared" si="27"/>
        <v>832273.65000000014</v>
      </c>
      <c r="N57" s="95">
        <f t="shared" si="27"/>
        <v>133455.17000000001</v>
      </c>
      <c r="O57" s="95">
        <f t="shared" si="27"/>
        <v>0</v>
      </c>
      <c r="P57" s="95">
        <f t="shared" si="27"/>
        <v>1000014.8500000001</v>
      </c>
      <c r="Q57" s="95">
        <f t="shared" si="27"/>
        <v>3464245.11</v>
      </c>
      <c r="R57" s="95">
        <f t="shared" si="27"/>
        <v>2566061.9</v>
      </c>
      <c r="S57" s="95">
        <f t="shared" si="27"/>
        <v>566985.47000000009</v>
      </c>
      <c r="T57" s="95">
        <f t="shared" si="27"/>
        <v>105480.59</v>
      </c>
      <c r="U57" s="95">
        <f t="shared" si="27"/>
        <v>19800</v>
      </c>
      <c r="V57" s="95">
        <f t="shared" si="27"/>
        <v>205917.15000000002</v>
      </c>
    </row>
    <row r="58" spans="1:22">
      <c r="B58" s="211"/>
      <c r="F58" s="207"/>
      <c r="G58" s="207"/>
      <c r="H58" s="207"/>
      <c r="I58" s="207"/>
      <c r="J58" s="207"/>
    </row>
    <row r="59" spans="1:22">
      <c r="D59" s="211"/>
      <c r="E59" s="253"/>
      <c r="F59" s="255"/>
      <c r="G59" s="255"/>
      <c r="H59" s="255"/>
      <c r="I59" s="207"/>
      <c r="J59" s="207"/>
      <c r="P59" s="229"/>
    </row>
    <row r="60" spans="1:22">
      <c r="D60" s="97"/>
      <c r="E60" s="254"/>
      <c r="F60" s="207"/>
      <c r="G60" s="207"/>
      <c r="H60" s="207"/>
      <c r="L60" s="207"/>
      <c r="M60" s="97"/>
      <c r="N60" s="229"/>
      <c r="S60" s="229">
        <f>566985.47-S57</f>
        <v>0</v>
      </c>
      <c r="V60" s="97"/>
    </row>
    <row r="61" spans="1:22">
      <c r="C61" s="229"/>
      <c r="D61" s="256"/>
      <c r="E61" s="229"/>
      <c r="F61" s="251"/>
      <c r="G61" s="229"/>
      <c r="H61" s="229"/>
      <c r="I61" s="229"/>
      <c r="K61" s="229"/>
    </row>
    <row r="62" spans="1:22">
      <c r="D62" s="97"/>
      <c r="F62" s="70"/>
      <c r="H62" s="229"/>
      <c r="I62" s="97"/>
      <c r="P62" s="229"/>
    </row>
    <row r="63" spans="1:22">
      <c r="C63" s="229"/>
      <c r="D63" s="231"/>
      <c r="E63" s="236"/>
      <c r="F63" s="251"/>
      <c r="G63" s="229"/>
      <c r="I63" s="229"/>
      <c r="J63" s="97"/>
      <c r="K63" s="97"/>
      <c r="N63" s="257"/>
      <c r="O63" s="258"/>
      <c r="P63" s="258"/>
      <c r="Q63" s="258"/>
      <c r="R63" s="259"/>
    </row>
    <row r="64" spans="1:22">
      <c r="D64" s="235"/>
      <c r="F64" s="229"/>
      <c r="G64" s="229"/>
      <c r="H64" s="229"/>
      <c r="I64" s="229"/>
      <c r="J64" s="229"/>
    </row>
    <row r="65" spans="3:20">
      <c r="C65" s="229"/>
      <c r="G65" s="97"/>
      <c r="K65" s="207"/>
      <c r="O65" s="207"/>
      <c r="T65" s="97"/>
    </row>
    <row r="66" spans="3:20">
      <c r="G66" s="229"/>
      <c r="M66" s="231"/>
      <c r="O66" s="207"/>
    </row>
    <row r="67" spans="3:20">
      <c r="G67" s="252"/>
      <c r="H67" s="97"/>
      <c r="O67" s="207"/>
    </row>
    <row r="68" spans="3:20">
      <c r="G68" s="211"/>
      <c r="H68" s="97"/>
    </row>
    <row r="69" spans="3:20">
      <c r="G69" s="229"/>
      <c r="H69" s="97"/>
      <c r="M69" s="229"/>
    </row>
    <row r="70" spans="3:20">
      <c r="G70" s="211"/>
      <c r="H70" s="97"/>
    </row>
    <row r="86" spans="6:6">
      <c r="F86" s="97"/>
    </row>
    <row r="87" spans="6:6">
      <c r="F87" s="230"/>
    </row>
  </sheetData>
  <mergeCells count="8">
    <mergeCell ref="N63:R63"/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72"/>
  <sheetViews>
    <sheetView tabSelected="1" view="pageBreakPreview" zoomScale="70" zoomScaleNormal="80" zoomScaleSheetLayoutView="70" workbookViewId="0">
      <pane xSplit="2" ySplit="3" topLeftCell="C28" activePane="bottomRight" state="frozen"/>
      <selection pane="topRight" activeCell="C1" sqref="C1"/>
      <selection pane="bottomLeft" activeCell="A9" sqref="A9"/>
      <selection pane="bottomRight" activeCell="L59" sqref="L59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140625" style="1" customWidth="1"/>
    <col min="4" max="4" width="15.42578125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18.5703125" style="1" customWidth="1"/>
    <col min="14" max="14" width="17.140625" style="1" customWidth="1"/>
    <col min="15" max="15" width="11.140625" style="1" bestFit="1" customWidth="1"/>
    <col min="16" max="16" width="13.85546875" style="1" customWidth="1"/>
    <col min="17" max="17" width="12.5703125" style="1" customWidth="1"/>
    <col min="18" max="16384" width="9.140625" style="1"/>
  </cols>
  <sheetData>
    <row r="1" spans="1:12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</row>
    <row r="2" spans="1:12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</row>
    <row r="3" spans="1:12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</row>
    <row r="4" spans="1:12">
      <c r="A4" s="269">
        <v>2015</v>
      </c>
      <c r="B4" s="8" t="str">
        <f>IF(L!$A$1=1,L!B127,IF(L!$A$1=2,L!C127,L!D127))</f>
        <v>2015 Janar</v>
      </c>
      <c r="C4" s="168">
        <f>SUM(D4:L4)</f>
        <v>193909.3</v>
      </c>
      <c r="D4" s="144">
        <v>80138.490000000005</v>
      </c>
      <c r="E4" s="144">
        <v>3026.65</v>
      </c>
      <c r="F4" s="169">
        <v>5530</v>
      </c>
      <c r="G4" s="145">
        <f>9400.5-350</f>
        <v>9050.5</v>
      </c>
      <c r="H4" s="146">
        <v>20240</v>
      </c>
      <c r="I4" s="146">
        <v>8887.5</v>
      </c>
      <c r="J4" s="146">
        <v>7551</v>
      </c>
      <c r="K4" s="170">
        <v>32478</v>
      </c>
      <c r="L4" s="147">
        <f>193909.3-D4-E4-F4-G4-H4-I4-J4-K4</f>
        <v>27007.159999999989</v>
      </c>
    </row>
    <row r="5" spans="1:12">
      <c r="A5" s="270"/>
      <c r="B5" s="5" t="str">
        <f>IF(L!$A$1=1,L!B128,IF(L!$A$1=2,L!C128,L!D128))</f>
        <v>2015 Shkurt</v>
      </c>
      <c r="C5" s="171">
        <f t="shared" ref="C5:C42" si="0">SUM(D5:L5)</f>
        <v>152962.70000000001</v>
      </c>
      <c r="D5" s="148">
        <v>64151.74</v>
      </c>
      <c r="E5" s="149">
        <v>769</v>
      </c>
      <c r="F5" s="172">
        <v>9331.44</v>
      </c>
      <c r="G5" s="145">
        <f>5554+1108.5+241+2453+549.5+2819</f>
        <v>12725</v>
      </c>
      <c r="H5" s="146">
        <v>11735</v>
      </c>
      <c r="I5" s="150">
        <v>9476.5</v>
      </c>
      <c r="J5" s="151">
        <v>11238.9</v>
      </c>
      <c r="K5" s="173">
        <v>7510</v>
      </c>
      <c r="L5" s="147">
        <f>152962.7-D5-E5-F5-G5-H5-I5-J5-K5</f>
        <v>26025.120000000017</v>
      </c>
    </row>
    <row r="6" spans="1:12">
      <c r="A6" s="270"/>
      <c r="B6" s="5" t="str">
        <f>IF(L!$A$1=1,L!B129,IF(L!$A$1=2,L!C129,L!D129))</f>
        <v xml:space="preserve">2015 Mars </v>
      </c>
      <c r="C6" s="171">
        <f t="shared" si="0"/>
        <v>240882.19</v>
      </c>
      <c r="D6" s="174">
        <v>110834.76</v>
      </c>
      <c r="E6" s="174">
        <v>28377.69</v>
      </c>
      <c r="F6" s="172">
        <v>1041.48</v>
      </c>
      <c r="G6" s="175">
        <f>15391.5-610</f>
        <v>14781.5</v>
      </c>
      <c r="H6" s="152">
        <v>14265</v>
      </c>
      <c r="I6" s="150">
        <v>12994</v>
      </c>
      <c r="J6" s="176">
        <v>12901.9</v>
      </c>
      <c r="K6" s="173">
        <v>8540</v>
      </c>
      <c r="L6" s="147">
        <f>240882.19-D6-E6-F6-G6-H6-I6-J6-K6</f>
        <v>37145.860000000008</v>
      </c>
    </row>
    <row r="7" spans="1:12">
      <c r="A7" s="270"/>
      <c r="B7" s="5" t="str">
        <f>IF(L!$A$1=1,L!B130,IF(L!$A$1=2,L!C130,L!D130))</f>
        <v>2015 Prill</v>
      </c>
      <c r="C7" s="171">
        <f t="shared" si="0"/>
        <v>266054.55</v>
      </c>
      <c r="D7" s="174">
        <v>117169.74</v>
      </c>
      <c r="E7" s="153">
        <f>32552.4+2106.6</f>
        <v>34659</v>
      </c>
      <c r="F7" s="172">
        <v>15927.5</v>
      </c>
      <c r="G7" s="145">
        <f>6949+1576+469+3165+626+165.5</f>
        <v>12950.5</v>
      </c>
      <c r="H7" s="177">
        <v>12365</v>
      </c>
      <c r="I7" s="150">
        <f>17330+1260+12</f>
        <v>18602</v>
      </c>
      <c r="J7" s="151">
        <v>12233.8</v>
      </c>
      <c r="K7" s="173">
        <v>7280</v>
      </c>
      <c r="L7" s="147">
        <f>266054.55-D7-E7-F7-G7-H7-I7-J7-K7</f>
        <v>34867.009999999995</v>
      </c>
    </row>
    <row r="8" spans="1:12">
      <c r="A8" s="270"/>
      <c r="B8" s="5" t="str">
        <f>IF(L!$A$1=1,L!B131,IF(L!$A$1=2,L!C131,L!D131))</f>
        <v>2015 Maj</v>
      </c>
      <c r="C8" s="171">
        <f t="shared" si="0"/>
        <v>251769.24</v>
      </c>
      <c r="D8" s="153">
        <v>92670.399999999994</v>
      </c>
      <c r="E8" s="153">
        <f>49711.39-2106.6</f>
        <v>47604.79</v>
      </c>
      <c r="F8" s="172">
        <v>20304.599999999999</v>
      </c>
      <c r="G8" s="154">
        <f>11980.5-460</f>
        <v>11520.5</v>
      </c>
      <c r="H8" s="155">
        <v>11134.44</v>
      </c>
      <c r="I8" s="155">
        <v>16579.5</v>
      </c>
      <c r="J8" s="151">
        <v>11155.3</v>
      </c>
      <c r="K8" s="173">
        <v>7800</v>
      </c>
      <c r="L8" s="147">
        <f>251769.24-D8-E8-F8-G8-H8-I8-J8-K8</f>
        <v>32999.709999999977</v>
      </c>
    </row>
    <row r="9" spans="1:12">
      <c r="A9" s="270"/>
      <c r="B9" s="5" t="str">
        <f>IF(L!$A$1=1,L!B132,IF(L!$A$1=2,L!C132,L!D132))</f>
        <v>2015 Qershor</v>
      </c>
      <c r="C9" s="171">
        <f t="shared" si="0"/>
        <v>459041.71</v>
      </c>
      <c r="D9" s="174">
        <v>171916.1</v>
      </c>
      <c r="E9" s="174">
        <f>23233-793</f>
        <v>22440</v>
      </c>
      <c r="F9" s="169">
        <v>2356.3000000000002</v>
      </c>
      <c r="G9" s="175">
        <f>13085.5</f>
        <v>13085.5</v>
      </c>
      <c r="H9" s="156">
        <f>11761+143100</f>
        <v>154861</v>
      </c>
      <c r="I9" s="176">
        <v>15638.5</v>
      </c>
      <c r="J9" s="176">
        <f>7844.7-969.5</f>
        <v>6875.2</v>
      </c>
      <c r="K9" s="173">
        <v>32207</v>
      </c>
      <c r="L9" s="147">
        <f>459041.71-D9-E9-F9-G9-H9-I9-J9-K9</f>
        <v>39662.11</v>
      </c>
    </row>
    <row r="10" spans="1:12">
      <c r="A10" s="270"/>
      <c r="B10" s="5" t="str">
        <f>IF(L!$A$1=1,L!B133,IF(L!$A$1=2,L!C133,L!D133))</f>
        <v>2015 Korrik</v>
      </c>
      <c r="C10" s="171">
        <f t="shared" si="0"/>
        <v>296124.09999999998</v>
      </c>
      <c r="D10" s="174">
        <v>142582.70000000001</v>
      </c>
      <c r="E10" s="174">
        <v>33174.199999999997</v>
      </c>
      <c r="F10" s="172">
        <v>31084</v>
      </c>
      <c r="G10" s="175">
        <f>14017-540</f>
        <v>13477</v>
      </c>
      <c r="H10" s="157">
        <v>16033.5</v>
      </c>
      <c r="I10" s="176">
        <v>18527</v>
      </c>
      <c r="J10" s="176">
        <v>10814</v>
      </c>
      <c r="K10" s="173">
        <v>3705</v>
      </c>
      <c r="L10" s="147">
        <f>296124.1-D10-E10-F10-G10-H10-I10-J10-K10</f>
        <v>26726.699999999968</v>
      </c>
    </row>
    <row r="11" spans="1:12">
      <c r="A11" s="270"/>
      <c r="B11" s="5" t="str">
        <f>IF(L!$A$1=1,L!B134,IF(L!$A$1=2,L!C134,L!D134))</f>
        <v>2015 Gusht</v>
      </c>
      <c r="C11" s="171">
        <f t="shared" si="0"/>
        <v>287806.2</v>
      </c>
      <c r="D11" s="148">
        <v>120816.1</v>
      </c>
      <c r="E11" s="149">
        <f>45500.9+2253</f>
        <v>47753.9</v>
      </c>
      <c r="F11" s="172">
        <v>17926.2</v>
      </c>
      <c r="G11" s="158">
        <f>15848.5-550</f>
        <v>15298.5</v>
      </c>
      <c r="H11" s="178">
        <v>19606</v>
      </c>
      <c r="I11" s="150">
        <v>17843</v>
      </c>
      <c r="J11" s="151">
        <v>10232.5</v>
      </c>
      <c r="K11" s="173">
        <v>5035</v>
      </c>
      <c r="L11" s="147">
        <f>287806.2-D11-E11-F11-G11-H11-I11-J11-K11</f>
        <v>33295.000000000015</v>
      </c>
    </row>
    <row r="12" spans="1:12">
      <c r="A12" s="270"/>
      <c r="B12" s="5" t="str">
        <f>IF(L!$A$1=1,L!B135,IF(L!$A$1=2,L!C135,L!D135))</f>
        <v>2015 Shtator</v>
      </c>
      <c r="C12" s="171">
        <f t="shared" si="0"/>
        <v>236324.72</v>
      </c>
      <c r="D12" s="159">
        <v>70778.06</v>
      </c>
      <c r="E12" s="160">
        <v>17526</v>
      </c>
      <c r="F12" s="172">
        <v>5775</v>
      </c>
      <c r="G12" s="179">
        <f>11236-520</f>
        <v>10716</v>
      </c>
      <c r="H12" s="161">
        <f>13600+54730</f>
        <v>68330</v>
      </c>
      <c r="I12" s="162">
        <v>15945</v>
      </c>
      <c r="J12" s="163">
        <v>10886.9</v>
      </c>
      <c r="K12" s="173">
        <v>8973</v>
      </c>
      <c r="L12" s="147">
        <f>236324.72-D12-E12-F12-G12-H12-I12-J12-K12</f>
        <v>27394.760000000002</v>
      </c>
    </row>
    <row r="13" spans="1:12">
      <c r="A13" s="270"/>
      <c r="B13" s="5" t="str">
        <f>IF(L!$A$1=1,L!B136,IF(L!$A$1=2,L!C136,L!D136))</f>
        <v>2015 Tetor</v>
      </c>
      <c r="C13" s="171">
        <f t="shared" si="0"/>
        <v>276207.13</v>
      </c>
      <c r="D13" s="148">
        <v>66369</v>
      </c>
      <c r="E13" s="149">
        <v>90804</v>
      </c>
      <c r="F13" s="172">
        <v>3087.5</v>
      </c>
      <c r="G13" s="180">
        <f>20807.5-G14</f>
        <v>9541.5</v>
      </c>
      <c r="H13" s="146">
        <v>13821</v>
      </c>
      <c r="I13" s="151">
        <v>14330</v>
      </c>
      <c r="J13" s="151">
        <v>10943.9</v>
      </c>
      <c r="K13" s="173">
        <v>9685</v>
      </c>
      <c r="L13" s="147">
        <f>276207.13-D13-E13-F13-G13-H13-I13-J13-K13</f>
        <v>57625.23000000001</v>
      </c>
    </row>
    <row r="14" spans="1:12">
      <c r="A14" s="270"/>
      <c r="B14" s="5" t="str">
        <f>IF(L!$A$1=1,L!B137,IF(L!$A$1=2,L!C137,L!D137))</f>
        <v xml:space="preserve">2015 Nëntor </v>
      </c>
      <c r="C14" s="171">
        <f t="shared" si="0"/>
        <v>232561.58</v>
      </c>
      <c r="D14" s="148">
        <v>81432.149999999994</v>
      </c>
      <c r="E14" s="149">
        <v>49209</v>
      </c>
      <c r="F14" s="172">
        <v>7861</v>
      </c>
      <c r="G14" s="158">
        <f>11785.8-365-154.8</f>
        <v>11266</v>
      </c>
      <c r="H14" s="181">
        <v>11190</v>
      </c>
      <c r="I14" s="150">
        <v>12555.5</v>
      </c>
      <c r="J14" s="151">
        <v>10162.9</v>
      </c>
      <c r="K14" s="173">
        <v>9115</v>
      </c>
      <c r="L14" s="147">
        <f>232561.58-D14-E14-F14-G14-H14-I14-J14-K14</f>
        <v>39770.029999999992</v>
      </c>
    </row>
    <row r="15" spans="1:12">
      <c r="A15" s="270"/>
      <c r="B15" s="5" t="str">
        <f>IF(L!$A$1=1,L!B138,IF(L!$A$1=2,L!C138,L!D138))</f>
        <v>2015 Dhjetor</v>
      </c>
      <c r="C15" s="171">
        <f t="shared" si="0"/>
        <v>443875.31000000006</v>
      </c>
      <c r="D15" s="148">
        <v>255517.62</v>
      </c>
      <c r="E15" s="149">
        <v>19390</v>
      </c>
      <c r="F15" s="172">
        <v>14453</v>
      </c>
      <c r="G15" s="158">
        <f>17365.5+6+36-2410</f>
        <v>14997.5</v>
      </c>
      <c r="H15" s="146">
        <f>6373+61857.52</f>
        <v>68230.51999999999</v>
      </c>
      <c r="I15" s="150">
        <v>15429</v>
      </c>
      <c r="J15" s="151">
        <v>15029.7</v>
      </c>
      <c r="K15" s="173">
        <v>11840</v>
      </c>
      <c r="L15" s="147">
        <f>443875.31-D15-E15-F15-G15-H15-I15-J15-K15</f>
        <v>28987.970000000016</v>
      </c>
    </row>
    <row r="16" spans="1:12">
      <c r="A16" s="270"/>
      <c r="B16" s="115" t="str">
        <f>IF(L!$A$1=1,L!B139,IF(L!$A$1=2,L!C139,L!D139))</f>
        <v>Gjithsej 2015</v>
      </c>
      <c r="C16" s="182">
        <f t="shared" si="0"/>
        <v>3337518.7299999995</v>
      </c>
      <c r="D16" s="183">
        <f>SUM(D4:D15)</f>
        <v>1374376.8599999999</v>
      </c>
      <c r="E16" s="183">
        <f>SUM(E4:E15)</f>
        <v>394734.23</v>
      </c>
      <c r="F16" s="183">
        <f t="shared" ref="F16:H16" si="1">SUM(F4:F15)</f>
        <v>134678.02000000002</v>
      </c>
      <c r="G16" s="183">
        <f t="shared" si="1"/>
        <v>149410</v>
      </c>
      <c r="H16" s="183">
        <f t="shared" si="1"/>
        <v>421811.45999999996</v>
      </c>
      <c r="I16" s="183">
        <f>SUM(I4:I15)</f>
        <v>176807.5</v>
      </c>
      <c r="J16" s="183">
        <f>SUM(J4:J15)</f>
        <v>130025.99999999999</v>
      </c>
      <c r="K16" s="183">
        <f>SUM(K4:K15)</f>
        <v>144168</v>
      </c>
      <c r="L16" s="184">
        <f>SUM(L4:L15)</f>
        <v>411506.65999999992</v>
      </c>
    </row>
    <row r="17" spans="1:13">
      <c r="A17" s="268">
        <v>2016</v>
      </c>
      <c r="B17" s="5" t="str">
        <f>IF(L!$A$1=1,L!B140,IF(L!$A$1=2,L!C140,L!D140))</f>
        <v>2016 Janar</v>
      </c>
      <c r="C17" s="185">
        <f t="shared" si="0"/>
        <v>174064.77000000002</v>
      </c>
      <c r="D17" s="186">
        <v>87609.11</v>
      </c>
      <c r="E17" s="186">
        <v>6478.6</v>
      </c>
      <c r="F17" s="187">
        <v>386</v>
      </c>
      <c r="G17" s="186">
        <f>7191-G18-15</f>
        <v>4379.5</v>
      </c>
      <c r="H17" s="164">
        <v>8745</v>
      </c>
      <c r="I17" s="186">
        <v>6484</v>
      </c>
      <c r="J17" s="186">
        <v>4925.5</v>
      </c>
      <c r="K17" s="185">
        <v>27466</v>
      </c>
      <c r="L17" s="188">
        <f>174064.77-D17-E17-F17-G17-H17-I17-J17-K17</f>
        <v>27591.059999999983</v>
      </c>
    </row>
    <row r="18" spans="1:13">
      <c r="A18" s="268"/>
      <c r="B18" s="5" t="str">
        <f>IF(L!$A$1=1,L!B141,IF(L!$A$1=2,L!C141,L!D141))</f>
        <v>2016 Shkurt</v>
      </c>
      <c r="C18" s="185">
        <f t="shared" si="0"/>
        <v>202319.18</v>
      </c>
      <c r="D18" s="186">
        <f>69508.9-5097.94</f>
        <v>64410.959999999992</v>
      </c>
      <c r="E18" s="186">
        <v>40372</v>
      </c>
      <c r="F18" s="189">
        <v>1300</v>
      </c>
      <c r="G18" s="186">
        <f>12678-G19-840</f>
        <v>2796.5</v>
      </c>
      <c r="H18" s="190">
        <v>9945</v>
      </c>
      <c r="I18" s="186">
        <f>14124.5-60</f>
        <v>14064.5</v>
      </c>
      <c r="J18" s="191">
        <v>13991.4</v>
      </c>
      <c r="K18" s="185">
        <v>8745</v>
      </c>
      <c r="L18" s="186">
        <f>202319.18-D18-E18-F18-G18-H18-I18-J18-K18</f>
        <v>46693.82</v>
      </c>
    </row>
    <row r="19" spans="1:13">
      <c r="A19" s="268"/>
      <c r="B19" s="5" t="str">
        <f>IF(L!$A$1=1,L!B142,IF(L!$A$1=2,L!C142,L!D142))</f>
        <v xml:space="preserve">2016 Mars </v>
      </c>
      <c r="C19" s="185">
        <f t="shared" si="0"/>
        <v>302842.98</v>
      </c>
      <c r="D19" s="186">
        <v>106017.04</v>
      </c>
      <c r="E19" s="186">
        <v>6847</v>
      </c>
      <c r="F19" s="189">
        <v>4320.3999999999996</v>
      </c>
      <c r="G19" s="186">
        <f>100+1116+120+1794.5+4654+272+820.5+111+47.5+6</f>
        <v>9041.5</v>
      </c>
      <c r="H19" s="165">
        <f>11945+72289</f>
        <v>84234</v>
      </c>
      <c r="I19" s="186">
        <f>1200+13288+10</f>
        <v>14498</v>
      </c>
      <c r="J19" s="191">
        <f>14419.3+218.5+11</f>
        <v>14648.8</v>
      </c>
      <c r="K19" s="185">
        <v>8230</v>
      </c>
      <c r="L19" s="186">
        <f>302842.98-E19-F19-G19-H19-I19-J19-K19-D19</f>
        <v>55006.239999999976</v>
      </c>
      <c r="M19" s="14"/>
    </row>
    <row r="20" spans="1:13">
      <c r="A20" s="268"/>
      <c r="B20" s="5" t="str">
        <f>IF(L!$A$1=1,L!B143,IF(L!$A$1=2,L!C143,L!D143))</f>
        <v>2016 Prill</v>
      </c>
      <c r="C20" s="185">
        <f t="shared" si="0"/>
        <v>272637.68</v>
      </c>
      <c r="D20" s="186">
        <v>113030.9</v>
      </c>
      <c r="E20" s="186">
        <v>42627</v>
      </c>
      <c r="F20" s="189">
        <v>744</v>
      </c>
      <c r="G20" s="186">
        <f>100+1116+120+1794.5+4654+272+820.5+111+47.5+6</f>
        <v>9041.5</v>
      </c>
      <c r="H20" s="186">
        <v>12150</v>
      </c>
      <c r="I20" s="186">
        <v>16697.5</v>
      </c>
      <c r="J20" s="191">
        <v>11247.4</v>
      </c>
      <c r="K20" s="185">
        <v>10166</v>
      </c>
      <c r="L20" s="186">
        <f>272637.68-D20-E20-F20-G20-H20-I20-J20-K20</f>
        <v>56933.380000000005</v>
      </c>
      <c r="M20" s="14"/>
    </row>
    <row r="21" spans="1:13">
      <c r="A21" s="268"/>
      <c r="B21" s="5" t="str">
        <f>IF(L!$A$1=1,L!B144,IF(L!$A$1=2,L!C144,L!D144))</f>
        <v>2016 Maj</v>
      </c>
      <c r="C21" s="185">
        <f t="shared" si="0"/>
        <v>237350.8</v>
      </c>
      <c r="D21" s="186">
        <v>113885.35</v>
      </c>
      <c r="E21" s="186">
        <v>9774</v>
      </c>
      <c r="F21" s="189">
        <v>12915.6</v>
      </c>
      <c r="G21" s="186">
        <f>11999</f>
        <v>11999</v>
      </c>
      <c r="H21" s="186">
        <v>12365</v>
      </c>
      <c r="I21" s="186">
        <v>16284</v>
      </c>
      <c r="J21" s="191">
        <v>10924.1</v>
      </c>
      <c r="K21" s="185">
        <v>15067</v>
      </c>
      <c r="L21" s="186">
        <f>237350.8-D21-E21-F21-G21-H21-I21-J21-K21</f>
        <v>34136.749999999978</v>
      </c>
      <c r="M21" s="14"/>
    </row>
    <row r="22" spans="1:13">
      <c r="A22" s="268"/>
      <c r="B22" s="5" t="str">
        <f>IF(L!$A$1=1,L!B145,IF(L!$A$1=2,L!C145,L!D145))</f>
        <v>2016 Qershor</v>
      </c>
      <c r="C22" s="185">
        <f t="shared" si="0"/>
        <v>461492.53</v>
      </c>
      <c r="D22" s="186">
        <v>261236.57</v>
      </c>
      <c r="E22" s="186">
        <v>17420</v>
      </c>
      <c r="F22" s="189">
        <v>2517.88</v>
      </c>
      <c r="G22" s="186">
        <f>13128-520</f>
        <v>12608</v>
      </c>
      <c r="H22" s="186">
        <f>9590+63975</f>
        <v>73565</v>
      </c>
      <c r="I22" s="186">
        <v>18140</v>
      </c>
      <c r="J22" s="191">
        <v>8867.2000000000007</v>
      </c>
      <c r="K22" s="192">
        <v>20372</v>
      </c>
      <c r="L22" s="186">
        <f>461492.53-D22-E22-F22-G22-H22-I22-J22-K22</f>
        <v>46765.880000000019</v>
      </c>
      <c r="M22" s="14"/>
    </row>
    <row r="23" spans="1:13">
      <c r="A23" s="268"/>
      <c r="B23" s="5" t="str">
        <f>IF(L!$A$1=1,L!B146,IF(L!$A$1=2,L!C146,L!D146))</f>
        <v>2016 Korrik</v>
      </c>
      <c r="C23" s="185">
        <f t="shared" si="0"/>
        <v>266190.81</v>
      </c>
      <c r="D23" s="186">
        <v>134806.46</v>
      </c>
      <c r="E23" s="186">
        <v>24616.799999999999</v>
      </c>
      <c r="F23" s="189">
        <v>10833.4</v>
      </c>
      <c r="G23" s="186">
        <f>18812-485</f>
        <v>18327</v>
      </c>
      <c r="H23" s="186">
        <v>15911</v>
      </c>
      <c r="I23" s="186">
        <v>18846.5</v>
      </c>
      <c r="J23" s="191">
        <v>10282.700000000001</v>
      </c>
      <c r="K23" s="185">
        <v>2389</v>
      </c>
      <c r="L23" s="186">
        <f>266190.81-D23-E23-F23-G23-H23-I23-J23-K23</f>
        <v>30177.950000000008</v>
      </c>
      <c r="M23" s="14"/>
    </row>
    <row r="24" spans="1:13">
      <c r="A24" s="268"/>
      <c r="B24" s="5" t="str">
        <f>IF(L!$A$1=1,L!B147,IF(L!$A$1=2,L!C147,L!D147))</f>
        <v>2016 Gusht</v>
      </c>
      <c r="C24" s="185">
        <f t="shared" si="0"/>
        <v>418553.47</v>
      </c>
      <c r="D24" s="186">
        <v>267400.02</v>
      </c>
      <c r="E24" s="186">
        <v>25951.8</v>
      </c>
      <c r="F24" s="189">
        <v>8774.4</v>
      </c>
      <c r="G24" s="186">
        <f>20518.5-590</f>
        <v>19928.5</v>
      </c>
      <c r="H24" s="166">
        <v>18707</v>
      </c>
      <c r="I24" s="186">
        <v>20964.5</v>
      </c>
      <c r="J24" s="191">
        <v>10606.2</v>
      </c>
      <c r="K24" s="185">
        <v>3025</v>
      </c>
      <c r="L24" s="186">
        <f>418553.47-D24-E24-F24-G24-H24-I24-J24-K24</f>
        <v>43196.049999999959</v>
      </c>
      <c r="M24" s="14"/>
    </row>
    <row r="25" spans="1:13">
      <c r="A25" s="268"/>
      <c r="B25" s="5" t="str">
        <f>IF(L!$A$1=1,L!B148,IF(L!$A$1=2,L!C148,L!D148))</f>
        <v>2016 Shtator</v>
      </c>
      <c r="C25" s="185">
        <f t="shared" si="0"/>
        <v>388113.07</v>
      </c>
      <c r="D25" s="186">
        <v>129402.91</v>
      </c>
      <c r="E25" s="186">
        <v>66896.600000000006</v>
      </c>
      <c r="F25" s="189">
        <v>15452</v>
      </c>
      <c r="G25" s="186">
        <f>12558.5-375</f>
        <v>12183.5</v>
      </c>
      <c r="H25" s="186">
        <f>8642.5+73331.5</f>
        <v>81974</v>
      </c>
      <c r="I25" s="186">
        <v>16913</v>
      </c>
      <c r="J25" s="191">
        <v>10288.700000000001</v>
      </c>
      <c r="K25" s="185">
        <v>7742</v>
      </c>
      <c r="L25" s="186">
        <f>388113.07-D25-E25-F25-G25-H25-I25-J25-K25</f>
        <v>47260.36</v>
      </c>
      <c r="M25" s="14"/>
    </row>
    <row r="26" spans="1:13">
      <c r="A26" s="268"/>
      <c r="B26" s="5" t="str">
        <f>IF(L!$A$1=1,L!B149,IF(L!$A$1=2,L!C149,L!D149))</f>
        <v>2016 Tetor</v>
      </c>
      <c r="C26" s="185">
        <f t="shared" si="0"/>
        <v>163368.18</v>
      </c>
      <c r="D26" s="186">
        <v>56748.14</v>
      </c>
      <c r="E26" s="186">
        <v>17641.5</v>
      </c>
      <c r="F26" s="189">
        <v>1824</v>
      </c>
      <c r="G26" s="186">
        <f>14527-420</f>
        <v>14107</v>
      </c>
      <c r="H26" s="186">
        <v>13573.5</v>
      </c>
      <c r="I26" s="186">
        <v>17255.5</v>
      </c>
      <c r="J26" s="191">
        <v>10546.4</v>
      </c>
      <c r="K26" s="192">
        <v>6863</v>
      </c>
      <c r="L26" s="186">
        <f>163368.18-D26-E26-F26-G26-H26-I26-J26-K26</f>
        <v>24809.139999999992</v>
      </c>
      <c r="M26" s="14"/>
    </row>
    <row r="27" spans="1:13">
      <c r="A27" s="268"/>
      <c r="B27" s="5" t="str">
        <f>IF(L!$A$1=1,L!B150,IF(L!$A$1=2,L!C150,L!D150))</f>
        <v xml:space="preserve">2016 Nëntor </v>
      </c>
      <c r="C27" s="185">
        <f t="shared" si="0"/>
        <v>195884.80999999997</v>
      </c>
      <c r="D27" s="186">
        <v>57141.39</v>
      </c>
      <c r="E27" s="186">
        <v>16179.27</v>
      </c>
      <c r="F27" s="189">
        <v>1539</v>
      </c>
      <c r="G27" s="186">
        <f>13588.5-375</f>
        <v>13213.5</v>
      </c>
      <c r="H27" s="186">
        <v>16279.5</v>
      </c>
      <c r="I27" s="186">
        <v>13578</v>
      </c>
      <c r="J27" s="191">
        <v>13073.2</v>
      </c>
      <c r="K27" s="192">
        <v>7776</v>
      </c>
      <c r="L27" s="186">
        <f>195884.81-D27-E27-F27-G27-H27-I27-J27-K27</f>
        <v>57104.949999999983</v>
      </c>
      <c r="M27" s="14"/>
    </row>
    <row r="28" spans="1:13">
      <c r="A28" s="268"/>
      <c r="B28" s="5" t="str">
        <f>IF(L!$A$1=1,L!B151,IF(L!$A$1=2,L!C151,L!D151))</f>
        <v>2016 Dhjetor</v>
      </c>
      <c r="C28" s="185">
        <f t="shared" si="0"/>
        <v>388090.77</v>
      </c>
      <c r="D28" s="186">
        <v>170822.38</v>
      </c>
      <c r="E28" s="186">
        <v>11524</v>
      </c>
      <c r="F28" s="189">
        <v>2233.6800000000003</v>
      </c>
      <c r="G28" s="186">
        <f>21508.5-400-30+51</f>
        <v>21129.5</v>
      </c>
      <c r="H28" s="186">
        <f>12255+94352.5</f>
        <v>106607.5</v>
      </c>
      <c r="I28" s="186">
        <v>14728</v>
      </c>
      <c r="J28" s="191">
        <v>15696.1</v>
      </c>
      <c r="K28" s="192">
        <v>10203</v>
      </c>
      <c r="L28" s="186">
        <f>388090.77-D28-E28-F28-G28-H28-I28-J28-K28</f>
        <v>35146.610000000022</v>
      </c>
      <c r="M28" s="14"/>
    </row>
    <row r="29" spans="1:13">
      <c r="A29" s="268"/>
      <c r="B29" s="6" t="str">
        <f>IF(L!$A$1=1,L!B152,IF(L!$A$1=2,L!C152,L!D152))</f>
        <v>Gjithsej 2016</v>
      </c>
      <c r="C29" s="193">
        <f t="shared" si="0"/>
        <v>3470909.05</v>
      </c>
      <c r="D29" s="194">
        <f t="shared" ref="D29:L29" si="2">SUM(D17:D28)</f>
        <v>1562511.2299999995</v>
      </c>
      <c r="E29" s="194">
        <f t="shared" si="2"/>
        <v>286328.57</v>
      </c>
      <c r="F29" s="194">
        <f t="shared" si="2"/>
        <v>62840.36</v>
      </c>
      <c r="G29" s="194">
        <f t="shared" si="2"/>
        <v>148755</v>
      </c>
      <c r="H29" s="194">
        <f t="shared" si="2"/>
        <v>454056.5</v>
      </c>
      <c r="I29" s="194">
        <f t="shared" si="2"/>
        <v>188453.5</v>
      </c>
      <c r="J29" s="194">
        <f t="shared" si="2"/>
        <v>135097.69999999998</v>
      </c>
      <c r="K29" s="194">
        <f t="shared" si="2"/>
        <v>128044</v>
      </c>
      <c r="L29" s="194">
        <f t="shared" si="2"/>
        <v>504822.18999999989</v>
      </c>
      <c r="M29" s="14"/>
    </row>
    <row r="30" spans="1:13" s="3" customFormat="1">
      <c r="A30" s="268">
        <v>2017</v>
      </c>
      <c r="B30" s="5" t="str">
        <f>IF(L!$A$1=1,L!B153,IF(L!$A$1=2,L!C153,L!D153))</f>
        <v>2017 Janar</v>
      </c>
      <c r="C30" s="189">
        <f>SUM(D30:L30)</f>
        <v>159765.66</v>
      </c>
      <c r="D30" s="195">
        <v>53694.34</v>
      </c>
      <c r="E30" s="186">
        <v>2659</v>
      </c>
      <c r="F30" s="189">
        <v>24285.4</v>
      </c>
      <c r="G30" s="196">
        <f>7312-160</f>
        <v>7152</v>
      </c>
      <c r="H30" s="197">
        <v>12177.5</v>
      </c>
      <c r="I30" s="196">
        <v>8440</v>
      </c>
      <c r="J30" s="198">
        <v>4200</v>
      </c>
      <c r="K30" s="199">
        <v>28331</v>
      </c>
      <c r="L30" s="189">
        <f>159765.66-D30-E30-F30-G30-I30-J30-K30-H30</f>
        <v>18826.420000000013</v>
      </c>
      <c r="M30" s="9"/>
    </row>
    <row r="31" spans="1:13" s="3" customFormat="1">
      <c r="A31" s="268"/>
      <c r="B31" s="5" t="str">
        <f>IF(L!$A$1=1,L!B154,IF(L!$A$1=2,L!C154,L!D154))</f>
        <v>2017 Shkurt</v>
      </c>
      <c r="C31" s="189">
        <f>SUM(D31:L31)</f>
        <v>182000.99999999997</v>
      </c>
      <c r="D31" s="195">
        <v>82711.62</v>
      </c>
      <c r="E31" s="186">
        <v>7851.8</v>
      </c>
      <c r="F31" s="189">
        <v>1440</v>
      </c>
      <c r="G31" s="196">
        <f>14065.5-415</f>
        <v>13650.5</v>
      </c>
      <c r="H31" s="197">
        <v>18607.5</v>
      </c>
      <c r="I31" s="196">
        <v>11719</v>
      </c>
      <c r="J31" s="200">
        <v>9533.4</v>
      </c>
      <c r="K31" s="199">
        <v>6607</v>
      </c>
      <c r="L31" s="189">
        <f>182001-D31-E31-F31-G31-I31-J31-K31-H31</f>
        <v>29880.18</v>
      </c>
      <c r="M31" s="9"/>
    </row>
    <row r="32" spans="1:13" s="3" customFormat="1">
      <c r="A32" s="268"/>
      <c r="B32" s="5" t="str">
        <f>IF(L!$A$1=1,L!B155,IF(L!$A$1=2,L!C155,L!D155))</f>
        <v xml:space="preserve">2017 Mars </v>
      </c>
      <c r="C32" s="201">
        <f t="shared" si="0"/>
        <v>389436.00000000006</v>
      </c>
      <c r="D32" s="195">
        <v>146023.26999999999</v>
      </c>
      <c r="E32" s="186">
        <v>33564</v>
      </c>
      <c r="F32" s="189">
        <v>4515.5</v>
      </c>
      <c r="G32" s="196">
        <f>19471.5-485</f>
        <v>18986.5</v>
      </c>
      <c r="H32" s="196">
        <v>113386</v>
      </c>
      <c r="I32" s="196">
        <v>17879</v>
      </c>
      <c r="J32" s="200">
        <v>11414.9</v>
      </c>
      <c r="K32" s="167">
        <v>6982</v>
      </c>
      <c r="L32" s="189">
        <f>389436-D32-E32-F32-G32-I32-J32-K32-H32</f>
        <v>36684.830000000016</v>
      </c>
      <c r="M32" s="9"/>
    </row>
    <row r="33" spans="1:16" s="3" customFormat="1">
      <c r="A33" s="268"/>
      <c r="B33" s="5" t="str">
        <f>IF(L!$A$1=1,L!B156,IF(L!$A$1=2,L!C156,L!D156))</f>
        <v>2017 Prill</v>
      </c>
      <c r="C33" s="189">
        <f t="shared" ref="C33:C39" si="3">SUM(D33:L33)</f>
        <v>239884</v>
      </c>
      <c r="D33" s="195">
        <v>88499.83</v>
      </c>
      <c r="E33" s="186">
        <v>48639.56</v>
      </c>
      <c r="F33" s="189">
        <v>7494</v>
      </c>
      <c r="G33" s="196">
        <f>15638.5-330</f>
        <v>15308.5</v>
      </c>
      <c r="H33" s="196">
        <v>20867.5</v>
      </c>
      <c r="I33" s="196">
        <v>14904</v>
      </c>
      <c r="J33" s="200">
        <v>7203.2</v>
      </c>
      <c r="K33" s="167">
        <v>5943</v>
      </c>
      <c r="L33" s="189">
        <f>239884-D33-E33-F33-G33-I33-J33-K33-H33</f>
        <v>31024.409999999989</v>
      </c>
      <c r="M33" s="9"/>
    </row>
    <row r="34" spans="1:16" s="3" customFormat="1">
      <c r="A34" s="268"/>
      <c r="B34" s="5" t="str">
        <f>IF(L!$A$1=1,L!B157,IF(L!$A$1=2,L!C157,L!D157))</f>
        <v>2017 Maj</v>
      </c>
      <c r="C34" s="189">
        <f t="shared" si="3"/>
        <v>268759</v>
      </c>
      <c r="D34" s="195">
        <v>99068.72</v>
      </c>
      <c r="E34" s="186">
        <v>37339.94</v>
      </c>
      <c r="F34" s="189">
        <v>19562</v>
      </c>
      <c r="G34" s="196">
        <f>15223-464</f>
        <v>14759</v>
      </c>
      <c r="H34" s="197">
        <v>24125</v>
      </c>
      <c r="I34" s="196">
        <v>16861.5</v>
      </c>
      <c r="J34" s="200">
        <v>9057.6</v>
      </c>
      <c r="K34" s="199">
        <v>14411</v>
      </c>
      <c r="L34" s="189">
        <f>268759-D34-E34-F34-G34-I34-J34-K34-H34</f>
        <v>33574.239999999991</v>
      </c>
      <c r="M34" s="9"/>
    </row>
    <row r="35" spans="1:16" s="3" customFormat="1">
      <c r="A35" s="268"/>
      <c r="B35" s="5" t="str">
        <f>IF(L!$A$1=1,L!B158,IF(L!$A$1=2,L!C158,L!D158))</f>
        <v>2017 Qershor</v>
      </c>
      <c r="C35" s="189">
        <f t="shared" si="3"/>
        <v>395477.02999999997</v>
      </c>
      <c r="D35" s="195">
        <v>182109.98</v>
      </c>
      <c r="E35" s="186">
        <v>11739.01</v>
      </c>
      <c r="F35" s="189">
        <v>2759</v>
      </c>
      <c r="G35" s="196">
        <f>17116-465</f>
        <v>16651</v>
      </c>
      <c r="H35" s="196">
        <v>104826</v>
      </c>
      <c r="I35" s="196">
        <v>19834</v>
      </c>
      <c r="J35" s="200">
        <v>6953.6</v>
      </c>
      <c r="K35" s="199">
        <v>25098</v>
      </c>
      <c r="L35" s="189">
        <f>395477.03-D35-E35-F35-G35-I35-J35-K35-H35</f>
        <v>25506.440000000002</v>
      </c>
      <c r="M35" s="9"/>
    </row>
    <row r="36" spans="1:16" s="3" customFormat="1">
      <c r="A36" s="268"/>
      <c r="B36" s="5" t="str">
        <f>IF(L!$A$1=1,L!B159,IF(L!$A$1=2,L!C159,L!D159))</f>
        <v>2017 Korrik</v>
      </c>
      <c r="C36" s="189">
        <f t="shared" si="3"/>
        <v>287896.01</v>
      </c>
      <c r="D36" s="195">
        <v>141447.01999999999</v>
      </c>
      <c r="E36" s="186">
        <v>23906.19</v>
      </c>
      <c r="F36" s="189">
        <v>30934</v>
      </c>
      <c r="G36" s="196">
        <f>14247.5</f>
        <v>14247.5</v>
      </c>
      <c r="H36" s="196">
        <v>22240</v>
      </c>
      <c r="I36" s="196">
        <v>19017</v>
      </c>
      <c r="J36" s="200">
        <v>8808.7999999999993</v>
      </c>
      <c r="K36" s="199">
        <v>2104</v>
      </c>
      <c r="L36" s="189">
        <f>287896.01-D36-E36-F36-G36-I36-J36-K36-H36</f>
        <v>25191.500000000015</v>
      </c>
      <c r="M36" s="9"/>
    </row>
    <row r="37" spans="1:16" s="3" customFormat="1">
      <c r="A37" s="268"/>
      <c r="B37" s="5" t="str">
        <f>IF(L!$A$1=1,L!B160,IF(L!$A$1=2,L!C160,L!D160))</f>
        <v>2017 Gusht</v>
      </c>
      <c r="C37" s="189">
        <f t="shared" si="3"/>
        <v>411732.69999999995</v>
      </c>
      <c r="D37" s="195">
        <v>218819.49</v>
      </c>
      <c r="E37" s="186">
        <v>21152.97</v>
      </c>
      <c r="F37" s="189">
        <v>37819.5</v>
      </c>
      <c r="G37" s="196">
        <f>22213.5-756</f>
        <v>21457.5</v>
      </c>
      <c r="H37" s="196">
        <v>42911.5</v>
      </c>
      <c r="I37" s="196">
        <v>21585</v>
      </c>
      <c r="J37" s="200">
        <v>10612</v>
      </c>
      <c r="K37" s="199">
        <v>1612</v>
      </c>
      <c r="L37" s="189">
        <f>411732.7-D37-E37-F37-G37-I37-J37-K37-H37</f>
        <v>35762.74000000002</v>
      </c>
      <c r="M37" s="9"/>
    </row>
    <row r="38" spans="1:16" s="3" customFormat="1">
      <c r="A38" s="268"/>
      <c r="B38" s="5" t="str">
        <f>IF(L!$A$1=1,L!B161,IF(L!$A$1=2,L!C161,L!D161))</f>
        <v>2017 Shtator</v>
      </c>
      <c r="C38" s="189">
        <f t="shared" si="3"/>
        <v>354245</v>
      </c>
      <c r="D38" s="195">
        <v>87232.27</v>
      </c>
      <c r="E38" s="186">
        <v>79186.03</v>
      </c>
      <c r="F38" s="189">
        <v>9086.2000000000007</v>
      </c>
      <c r="G38" s="196">
        <f>17172.5-440</f>
        <v>16732.5</v>
      </c>
      <c r="H38" s="196">
        <v>94296</v>
      </c>
      <c r="I38" s="196">
        <v>14882.5</v>
      </c>
      <c r="J38" s="200">
        <v>8148.5</v>
      </c>
      <c r="K38" s="167">
        <v>9940.39</v>
      </c>
      <c r="L38" s="189">
        <f>276520-D38-E38-F38-G38-I38-J38-K38-H38+77725</f>
        <v>34740.609999999986</v>
      </c>
      <c r="M38" s="9"/>
    </row>
    <row r="39" spans="1:16" s="3" customFormat="1">
      <c r="A39" s="268"/>
      <c r="B39" s="5" t="str">
        <f>IF(L!$A$1=1,L!B162,IF(L!$A$1=2,L!C162,L!D162))</f>
        <v>2017 Tetor</v>
      </c>
      <c r="C39" s="189">
        <f t="shared" si="3"/>
        <v>302637.14999999997</v>
      </c>
      <c r="D39" s="195">
        <v>51185.62</v>
      </c>
      <c r="E39" s="186">
        <v>112360.75</v>
      </c>
      <c r="F39" s="189">
        <v>29807.829999999998</v>
      </c>
      <c r="G39" s="196">
        <f>19326.4-688.5</f>
        <v>18637.900000000001</v>
      </c>
      <c r="H39" s="196">
        <v>18388.5</v>
      </c>
      <c r="I39" s="196">
        <v>19763.5</v>
      </c>
      <c r="J39" s="200">
        <v>9095.2999999999993</v>
      </c>
      <c r="K39" s="199">
        <v>7282</v>
      </c>
      <c r="L39" s="189">
        <f>284248.65-D39-E39-F39-G39-I39-J39-K39</f>
        <v>36115.750000000015</v>
      </c>
      <c r="M39" s="9"/>
    </row>
    <row r="40" spans="1:16" s="3" customFormat="1">
      <c r="A40" s="268"/>
      <c r="B40" s="5" t="str">
        <f>IF(L!$A$1=1,L!B163,IF(L!$A$1=2,L!C163,L!D163))</f>
        <v xml:space="preserve">2017 Nëntor </v>
      </c>
      <c r="C40" s="271">
        <f t="shared" si="0"/>
        <v>219482.89</v>
      </c>
      <c r="D40" s="271">
        <v>63037.9</v>
      </c>
      <c r="E40" s="271">
        <v>79818.880000000005</v>
      </c>
      <c r="F40" s="271">
        <f>1499.5+170</f>
        <v>1669.5</v>
      </c>
      <c r="G40" s="271">
        <v>13723.5</v>
      </c>
      <c r="H40" s="271">
        <v>14692.5</v>
      </c>
      <c r="I40" s="271">
        <f>13614+2150.5</f>
        <v>15764.5</v>
      </c>
      <c r="J40" s="271">
        <v>9461.5</v>
      </c>
      <c r="K40" s="271">
        <f>7063+40</f>
        <v>7103</v>
      </c>
      <c r="L40" s="185">
        <v>14211.61</v>
      </c>
    </row>
    <row r="41" spans="1:16" s="3" customFormat="1">
      <c r="A41" s="268"/>
      <c r="B41" s="5" t="str">
        <f>IF(L!$A$1=1,L!B164,IF(L!$A$1=2,L!C164,L!D164))</f>
        <v>2017 Dhjetor</v>
      </c>
      <c r="C41" s="185">
        <f t="shared" si="0"/>
        <v>360487.65</v>
      </c>
      <c r="D41" s="195">
        <v>207270.45</v>
      </c>
      <c r="E41" s="198">
        <v>10009.74</v>
      </c>
      <c r="F41" s="185">
        <v>1796</v>
      </c>
      <c r="G41" s="185">
        <v>16445</v>
      </c>
      <c r="H41" s="185">
        <v>47757</v>
      </c>
      <c r="I41" s="185">
        <v>19650</v>
      </c>
      <c r="J41" s="200">
        <v>15211.8</v>
      </c>
      <c r="K41" s="185">
        <v>6794</v>
      </c>
      <c r="L41" s="185">
        <v>35553.660000000003</v>
      </c>
    </row>
    <row r="42" spans="1:16" s="3" customFormat="1">
      <c r="A42" s="268"/>
      <c r="B42" s="6" t="str">
        <f>IF(L!$A$1=1,L!B165,IF(L!$A$1=2,L!C165,L!D165))</f>
        <v>Gjithsej 2017</v>
      </c>
      <c r="C42" s="272">
        <f t="shared" si="0"/>
        <v>3571804.0900000003</v>
      </c>
      <c r="D42" s="273">
        <f>SUM(D30:D41)</f>
        <v>1421100.51</v>
      </c>
      <c r="E42" s="273">
        <f>SUM(E30:E41)</f>
        <v>468227.87</v>
      </c>
      <c r="F42" s="273">
        <f>SUM(F30:F41)</f>
        <v>171168.93</v>
      </c>
      <c r="G42" s="273">
        <f t="shared" ref="G42:K42" si="4">SUM(G30:G41)</f>
        <v>187751.4</v>
      </c>
      <c r="H42" s="273">
        <f t="shared" si="4"/>
        <v>534275</v>
      </c>
      <c r="I42" s="273">
        <f t="shared" si="4"/>
        <v>200300</v>
      </c>
      <c r="J42" s="273">
        <f t="shared" si="4"/>
        <v>109700.6</v>
      </c>
      <c r="K42" s="273">
        <f t="shared" si="4"/>
        <v>122207.39</v>
      </c>
      <c r="L42" s="194">
        <f>SUM(L30:L41)</f>
        <v>357072.39</v>
      </c>
    </row>
    <row r="43" spans="1:16" s="3" customFormat="1">
      <c r="A43" s="268">
        <v>2018</v>
      </c>
      <c r="B43" s="5" t="str">
        <f>IF(L!$A$1=1,L!B166,IF(L!$A$1=2,L!C166,L!D166))</f>
        <v>2018 Janar</v>
      </c>
      <c r="C43" s="189">
        <f>SUM(D43:L43)</f>
        <v>299101.73</v>
      </c>
      <c r="D43" s="195">
        <v>94267.63</v>
      </c>
      <c r="E43" s="186">
        <v>92057.72</v>
      </c>
      <c r="F43" s="189">
        <f>482+1063</f>
        <v>1545</v>
      </c>
      <c r="G43" s="196">
        <f>1282+566+225+6446+305+402.5+6629.58</f>
        <v>15856.08</v>
      </c>
      <c r="H43" s="187">
        <v>22434.5</v>
      </c>
      <c r="I43" s="196">
        <v>13131</v>
      </c>
      <c r="J43" s="198">
        <v>7016.5</v>
      </c>
      <c r="K43" s="199">
        <f>4681+26170</f>
        <v>30851</v>
      </c>
      <c r="L43" s="189">
        <f>276667.23-D43-E43-F43-G43-I43-J43-K43</f>
        <v>21942.299999999974</v>
      </c>
    </row>
    <row r="44" spans="1:16" s="9" customFormat="1" ht="16.5">
      <c r="A44" s="268"/>
      <c r="B44" s="5" t="str">
        <f>IF(L!$A$1=1,L!B167,IF(L!$A$1=2,L!C167,L!D167))</f>
        <v>2018 Shkurt</v>
      </c>
      <c r="C44" s="220">
        <f>SUM(D44:L44)</f>
        <v>221109.30000000002</v>
      </c>
      <c r="D44" s="221">
        <v>109114.67</v>
      </c>
      <c r="E44" s="222">
        <v>15029.53</v>
      </c>
      <c r="F44" s="220">
        <v>2187.5</v>
      </c>
      <c r="G44" s="223">
        <v>13331</v>
      </c>
      <c r="H44" s="224">
        <v>25935.5</v>
      </c>
      <c r="I44" s="223">
        <v>13174</v>
      </c>
      <c r="J44" s="225">
        <v>9273.1</v>
      </c>
      <c r="K44" s="143">
        <f>250+4614</f>
        <v>4864</v>
      </c>
      <c r="L44" s="189">
        <v>28200</v>
      </c>
      <c r="M44" s="205"/>
    </row>
    <row r="45" spans="1:16" s="9" customFormat="1" ht="16.5">
      <c r="A45" s="268"/>
      <c r="B45" s="5" t="str">
        <f>IF(L!$A$1=1,L!B168,IF(L!$A$1=2,L!C168,L!D168))</f>
        <v xml:space="preserve">2018 Mars </v>
      </c>
      <c r="C45" s="226">
        <f t="shared" ref="C45:C55" si="5">SUM(D45:L45)</f>
        <v>450115.77999999997</v>
      </c>
      <c r="D45" s="227">
        <v>119279.33</v>
      </c>
      <c r="E45" s="217">
        <v>177218.28</v>
      </c>
      <c r="F45" s="215">
        <v>11356.9</v>
      </c>
      <c r="G45" s="218">
        <v>14007</v>
      </c>
      <c r="H45" s="218">
        <f>31362+29890</f>
        <v>61252</v>
      </c>
      <c r="I45" s="218">
        <v>16097</v>
      </c>
      <c r="J45" s="219">
        <v>6656.8</v>
      </c>
      <c r="K45" s="167">
        <v>5623</v>
      </c>
      <c r="L45" s="215">
        <v>38625.469999999972</v>
      </c>
      <c r="M45" s="119"/>
      <c r="N45" s="119"/>
    </row>
    <row r="46" spans="1:16" s="9" customFormat="1" ht="16.5">
      <c r="A46" s="268"/>
      <c r="B46" s="5" t="str">
        <f>IF(L!$A$1=1,L!B169,IF(L!$A$1=2,L!C169,L!D169))</f>
        <v>2018 Prill</v>
      </c>
      <c r="C46" s="215">
        <f t="shared" si="5"/>
        <v>280872.52</v>
      </c>
      <c r="D46" s="216">
        <v>99107.26</v>
      </c>
      <c r="E46" s="217">
        <v>43497.98</v>
      </c>
      <c r="F46" s="215">
        <v>2886</v>
      </c>
      <c r="G46" s="218">
        <v>16574</v>
      </c>
      <c r="H46" s="218">
        <v>36295</v>
      </c>
      <c r="I46" s="218">
        <v>19799</v>
      </c>
      <c r="J46" s="227">
        <v>10760.1</v>
      </c>
      <c r="K46" s="167">
        <v>5933</v>
      </c>
      <c r="L46" s="215">
        <v>46020.18</v>
      </c>
      <c r="M46" s="119"/>
      <c r="N46" s="119"/>
    </row>
    <row r="47" spans="1:16" s="9" customFormat="1" ht="16.5">
      <c r="A47" s="268"/>
      <c r="B47" s="5" t="str">
        <f>IF(L!$A$1=1,L!B170,IF(L!$A$1=2,L!C170,L!D170))</f>
        <v>2018 Maj</v>
      </c>
      <c r="C47" s="215">
        <f t="shared" si="5"/>
        <v>280730.78000000003</v>
      </c>
      <c r="D47" s="227">
        <v>107976.17</v>
      </c>
      <c r="E47" s="217">
        <v>25755.54</v>
      </c>
      <c r="F47" s="215">
        <v>10665.45</v>
      </c>
      <c r="G47" s="218">
        <v>13771</v>
      </c>
      <c r="H47" s="224">
        <v>38844.5</v>
      </c>
      <c r="I47" s="218">
        <v>19120</v>
      </c>
      <c r="J47" s="219">
        <v>7683.4</v>
      </c>
      <c r="K47" s="117">
        <v>19836</v>
      </c>
      <c r="L47" s="215">
        <v>37078.720000000001</v>
      </c>
      <c r="M47" s="209"/>
      <c r="N47" s="120"/>
    </row>
    <row r="48" spans="1:16" s="9" customFormat="1" ht="18.75">
      <c r="A48" s="268"/>
      <c r="B48" s="5" t="str">
        <f>IF(L!$A$1=1,L!B171,IF(L!$A$1=2,L!C171,L!D171))</f>
        <v>2018 Qershor</v>
      </c>
      <c r="C48" s="215">
        <f t="shared" si="5"/>
        <v>514272.89999999997</v>
      </c>
      <c r="D48" s="227">
        <v>184442.15</v>
      </c>
      <c r="E48" s="217">
        <v>172512.19</v>
      </c>
      <c r="F48" s="215">
        <f>5221.5+1531</f>
        <v>6752.5</v>
      </c>
      <c r="G48" s="218">
        <v>13843</v>
      </c>
      <c r="H48" s="218">
        <v>65741</v>
      </c>
      <c r="I48" s="218">
        <v>16610</v>
      </c>
      <c r="J48" s="219">
        <v>5505</v>
      </c>
      <c r="K48" s="117">
        <v>15769</v>
      </c>
      <c r="L48" s="215">
        <v>33098.06</v>
      </c>
      <c r="M48" s="141"/>
      <c r="N48" s="120"/>
      <c r="O48" s="120"/>
      <c r="P48" s="120"/>
    </row>
    <row r="49" spans="1:15" s="9" customFormat="1" ht="16.5">
      <c r="A49" s="268"/>
      <c r="B49" s="5" t="str">
        <f>IF(L!$A$1=1,L!B172,IF(L!$A$1=2,L!C172,L!D172))</f>
        <v>2018 Korrik</v>
      </c>
      <c r="C49" s="215">
        <f t="shared" si="5"/>
        <v>381356.68</v>
      </c>
      <c r="D49" s="216">
        <v>165623.94</v>
      </c>
      <c r="E49" s="217">
        <v>34111.839999999997</v>
      </c>
      <c r="F49" s="215">
        <v>13740.9</v>
      </c>
      <c r="G49" s="218">
        <f>20408</f>
        <v>20408</v>
      </c>
      <c r="H49" s="227">
        <v>54942</v>
      </c>
      <c r="I49" s="228">
        <v>19579</v>
      </c>
      <c r="J49" s="219">
        <v>8510.5</v>
      </c>
      <c r="K49" s="117">
        <v>1869</v>
      </c>
      <c r="L49" s="215">
        <f>62553.5+18</f>
        <v>62571.5</v>
      </c>
      <c r="M49" s="121"/>
      <c r="N49" s="121"/>
    </row>
    <row r="50" spans="1:15" s="9" customFormat="1" ht="16.5">
      <c r="A50" s="268"/>
      <c r="B50" s="5" t="str">
        <f>IF(L!$A$1=1,L!B173,IF(L!$A$1=2,L!C173,L!D173))</f>
        <v>2018 Gusht</v>
      </c>
      <c r="C50" s="215">
        <f t="shared" si="5"/>
        <v>446484.10000000003</v>
      </c>
      <c r="D50" s="216">
        <v>136449.96</v>
      </c>
      <c r="E50" s="217">
        <v>95505.84</v>
      </c>
      <c r="F50" s="215">
        <v>40395.100000000006</v>
      </c>
      <c r="G50" s="218">
        <v>20292</v>
      </c>
      <c r="H50" s="218">
        <v>70350.5</v>
      </c>
      <c r="I50" s="234">
        <v>19722</v>
      </c>
      <c r="J50" s="233">
        <v>11091.5</v>
      </c>
      <c r="K50" s="117">
        <v>1481</v>
      </c>
      <c r="L50" s="215">
        <f>54139.2-2943</f>
        <v>51196.2</v>
      </c>
      <c r="M50" s="122"/>
      <c r="N50" s="122"/>
    </row>
    <row r="51" spans="1:15" s="9" customFormat="1" ht="15.75">
      <c r="A51" s="268"/>
      <c r="B51" s="5" t="str">
        <f>IF(L!$A$1=1,L!B174,IF(L!$A$1=2,L!C174,L!D174))</f>
        <v>2018 Shtator</v>
      </c>
      <c r="C51" s="116">
        <f t="shared" si="5"/>
        <v>260941.48</v>
      </c>
      <c r="D51" s="109">
        <v>70148.710000000006</v>
      </c>
      <c r="E51" s="110">
        <v>34026.49</v>
      </c>
      <c r="F51" s="116">
        <v>2618.08</v>
      </c>
      <c r="G51" s="111">
        <v>19505</v>
      </c>
      <c r="H51" s="111">
        <f>45347.5+25180.8</f>
        <v>70528.3</v>
      </c>
      <c r="I51" s="234">
        <v>17719</v>
      </c>
      <c r="J51" s="112">
        <v>8293.7999999999993</v>
      </c>
      <c r="K51" s="118">
        <v>324</v>
      </c>
      <c r="L51" s="116">
        <v>37778.1</v>
      </c>
      <c r="M51" s="237"/>
      <c r="N51" s="122"/>
    </row>
    <row r="52" spans="1:15" s="9" customFormat="1">
      <c r="A52" s="268"/>
      <c r="B52" s="5" t="str">
        <f>IF(L!$A$1=1,L!B175,IF(L!$A$1=2,L!C175,L!D175))</f>
        <v>2018 Tetor</v>
      </c>
      <c r="C52" s="116">
        <f t="shared" si="5"/>
        <v>322353.33999999997</v>
      </c>
      <c r="D52" s="233">
        <v>100385.81</v>
      </c>
      <c r="E52" s="110">
        <v>40549.25</v>
      </c>
      <c r="F52" s="116">
        <v>24037.759999999998</v>
      </c>
      <c r="G52" s="111">
        <v>17294.5</v>
      </c>
      <c r="H52" s="111">
        <v>61535</v>
      </c>
      <c r="I52" s="111">
        <v>19576</v>
      </c>
      <c r="J52" s="112">
        <v>12382.8</v>
      </c>
      <c r="K52" s="117"/>
      <c r="L52" s="116">
        <v>46592.22</v>
      </c>
      <c r="M52" s="237"/>
      <c r="N52" s="122"/>
    </row>
    <row r="53" spans="1:15" s="9" customFormat="1">
      <c r="A53" s="268"/>
      <c r="B53" s="5" t="str">
        <f>IF(L!$A$1=1,L!B176,IF(L!$A$1=2,L!C176,L!D176))</f>
        <v xml:space="preserve">2018 Nëntor </v>
      </c>
      <c r="C53" s="108">
        <f t="shared" si="5"/>
        <v>330998.58999999997</v>
      </c>
      <c r="D53" s="274">
        <v>102076.34</v>
      </c>
      <c r="E53" s="275">
        <v>33134.74</v>
      </c>
      <c r="F53" s="108">
        <v>5081.12</v>
      </c>
      <c r="G53" s="108">
        <v>13797.84</v>
      </c>
      <c r="H53" s="108">
        <v>72486</v>
      </c>
      <c r="I53" s="108">
        <v>14364</v>
      </c>
      <c r="J53" s="275">
        <v>7966.5</v>
      </c>
      <c r="K53" s="108">
        <v>1915</v>
      </c>
      <c r="L53" s="108">
        <v>80177.05</v>
      </c>
      <c r="M53" s="237"/>
      <c r="N53" s="237"/>
    </row>
    <row r="54" spans="1:15" s="9" customFormat="1" ht="15.75" thickBot="1">
      <c r="A54" s="268"/>
      <c r="B54" s="5" t="str">
        <f>IF(L!$A$1=1,L!B177,IF(L!$A$1=2,L!C177,L!D177))</f>
        <v>2018 Dhjetor</v>
      </c>
      <c r="C54" s="108">
        <f t="shared" si="5"/>
        <v>460635.75</v>
      </c>
      <c r="D54" s="276">
        <v>268543.43</v>
      </c>
      <c r="E54" s="277">
        <v>9247.33</v>
      </c>
      <c r="F54" s="108">
        <v>1003</v>
      </c>
      <c r="G54" s="108">
        <v>18475.5</v>
      </c>
      <c r="H54" s="108">
        <f>55189+23230.96+7.2</f>
        <v>78427.159999999989</v>
      </c>
      <c r="I54" s="108">
        <v>17750</v>
      </c>
      <c r="J54" s="278">
        <v>12256.2</v>
      </c>
      <c r="K54" s="108">
        <v>6711</v>
      </c>
      <c r="L54" s="108">
        <f>47573.13+649</f>
        <v>48222.13</v>
      </c>
    </row>
    <row r="55" spans="1:15" s="3" customFormat="1">
      <c r="A55" s="268"/>
      <c r="B55" s="6" t="str">
        <f>IF(L!$A$1=1,L!B178,IF(L!$A$1=2,L!C178,L!D178))</f>
        <v>Gjithsej 2018</v>
      </c>
      <c r="C55" s="113">
        <f t="shared" si="5"/>
        <v>4248972.95</v>
      </c>
      <c r="D55" s="114">
        <f>SUM(D43:D54)</f>
        <v>1557415.4000000001</v>
      </c>
      <c r="E55" s="114">
        <f>SUM(E43:E54)</f>
        <v>772646.72999999986</v>
      </c>
      <c r="F55" s="114">
        <f>SUM(F43:F54)</f>
        <v>122269.31</v>
      </c>
      <c r="G55" s="114">
        <f t="shared" ref="G55:K55" si="6">SUM(G43:G54)</f>
        <v>197154.92</v>
      </c>
      <c r="H55" s="114">
        <f t="shared" si="6"/>
        <v>658771.46000000008</v>
      </c>
      <c r="I55" s="114">
        <f t="shared" si="6"/>
        <v>206641</v>
      </c>
      <c r="J55" s="114">
        <f t="shared" si="6"/>
        <v>107396.2</v>
      </c>
      <c r="K55" s="114">
        <f t="shared" si="6"/>
        <v>95176</v>
      </c>
      <c r="L55" s="114">
        <f>SUM(L43:L54)</f>
        <v>531501.92999999993</v>
      </c>
    </row>
    <row r="56" spans="1:15" s="3" customFormat="1">
      <c r="D56" s="4"/>
      <c r="E56" s="4"/>
      <c r="F56" s="4"/>
      <c r="O56" s="238"/>
    </row>
    <row r="57" spans="1:15" s="3" customFormat="1">
      <c r="D57" s="4"/>
      <c r="E57" s="4"/>
      <c r="F57" s="4"/>
    </row>
    <row r="58" spans="1:15" s="3" customFormat="1">
      <c r="D58" s="4"/>
      <c r="E58" s="4"/>
      <c r="F58" s="4"/>
    </row>
    <row r="59" spans="1:15" s="3" customFormat="1">
      <c r="D59" s="4"/>
      <c r="E59" s="4"/>
      <c r="F59" s="4"/>
    </row>
    <row r="60" spans="1:15" s="3" customFormat="1">
      <c r="D60" s="4"/>
      <c r="E60" s="4"/>
      <c r="F60" s="4"/>
    </row>
    <row r="61" spans="1:15" s="3" customFormat="1">
      <c r="D61" s="4"/>
      <c r="E61" s="4"/>
      <c r="F61" s="4"/>
    </row>
    <row r="62" spans="1:15" s="3" customFormat="1">
      <c r="D62" s="4"/>
      <c r="E62" s="4"/>
      <c r="F62" s="4"/>
    </row>
    <row r="63" spans="1:15" s="3" customFormat="1">
      <c r="D63" s="4"/>
      <c r="E63" s="4"/>
      <c r="F63" s="4"/>
    </row>
    <row r="64" spans="1:15" s="3" customFormat="1">
      <c r="D64" s="4"/>
      <c r="E64" s="4"/>
      <c r="F64" s="4"/>
    </row>
    <row r="65" spans="4:6" s="3" customFormat="1">
      <c r="D65" s="4"/>
      <c r="E65" s="4"/>
      <c r="F65" s="4"/>
    </row>
    <row r="66" spans="4:6" s="3" customFormat="1">
      <c r="D66" s="4"/>
      <c r="E66" s="4"/>
      <c r="F66" s="4"/>
    </row>
    <row r="67" spans="4:6" s="3" customFormat="1">
      <c r="D67" s="4"/>
      <c r="E67" s="4"/>
      <c r="F67" s="4"/>
    </row>
    <row r="68" spans="4:6" s="3" customFormat="1">
      <c r="D68" s="4"/>
      <c r="E68" s="4"/>
      <c r="F68" s="4"/>
    </row>
    <row r="69" spans="4:6" s="3" customFormat="1">
      <c r="D69" s="4"/>
      <c r="E69" s="4"/>
      <c r="F69" s="4"/>
    </row>
    <row r="70" spans="4:6" s="3" customFormat="1">
      <c r="D70" s="4"/>
      <c r="E70" s="4"/>
      <c r="F70" s="4"/>
    </row>
    <row r="71" spans="4:6" s="3" customFormat="1">
      <c r="D71" s="4"/>
      <c r="E71" s="4"/>
      <c r="F71" s="4"/>
    </row>
    <row r="72" spans="4:6" s="3" customFormat="1">
      <c r="D72" s="4"/>
      <c r="E72" s="4"/>
      <c r="F72" s="4"/>
    </row>
    <row r="73" spans="4:6" s="3" customFormat="1">
      <c r="D73" s="4"/>
      <c r="E73" s="4"/>
      <c r="F73" s="4"/>
    </row>
    <row r="74" spans="4:6" s="3" customFormat="1">
      <c r="D74" s="4"/>
      <c r="E74" s="4"/>
      <c r="F74" s="4"/>
    </row>
    <row r="75" spans="4:6" s="3" customFormat="1">
      <c r="D75" s="4"/>
      <c r="E75" s="4"/>
      <c r="F75" s="4"/>
    </row>
    <row r="76" spans="4:6" s="3" customFormat="1">
      <c r="D76" s="4"/>
      <c r="E76" s="4"/>
      <c r="F76" s="4"/>
    </row>
    <row r="77" spans="4:6" s="3" customFormat="1">
      <c r="D77" s="4"/>
      <c r="E77" s="4"/>
      <c r="F77" s="4"/>
    </row>
    <row r="78" spans="4:6" s="3" customFormat="1">
      <c r="D78" s="4"/>
      <c r="E78" s="4"/>
      <c r="F78" s="4"/>
    </row>
    <row r="79" spans="4:6" s="3" customFormat="1">
      <c r="D79" s="4"/>
      <c r="E79" s="4"/>
      <c r="F79" s="4"/>
    </row>
    <row r="80" spans="4:6" s="3" customFormat="1">
      <c r="D80" s="4"/>
      <c r="E80" s="4"/>
      <c r="F80" s="4"/>
    </row>
    <row r="81" spans="4:6" s="3" customFormat="1">
      <c r="D81" s="4"/>
      <c r="E81" s="4"/>
      <c r="F81" s="4"/>
    </row>
    <row r="82" spans="4:6" s="3" customFormat="1">
      <c r="D82" s="4"/>
      <c r="E82" s="4"/>
      <c r="F82" s="4"/>
    </row>
    <row r="83" spans="4:6" s="3" customFormat="1">
      <c r="D83" s="4"/>
      <c r="E83" s="4"/>
      <c r="F83" s="4"/>
    </row>
    <row r="84" spans="4:6" s="3" customFormat="1">
      <c r="D84" s="4"/>
      <c r="E84" s="4"/>
      <c r="F84" s="4"/>
    </row>
    <row r="85" spans="4:6" s="3" customFormat="1">
      <c r="D85" s="4"/>
      <c r="E85" s="4"/>
      <c r="F85" s="4"/>
    </row>
    <row r="86" spans="4:6" s="3" customFormat="1">
      <c r="D86" s="4"/>
      <c r="E86" s="4"/>
      <c r="F86" s="4"/>
    </row>
    <row r="87" spans="4:6" s="3" customFormat="1">
      <c r="D87" s="4"/>
      <c r="E87" s="4"/>
      <c r="F87" s="4"/>
    </row>
    <row r="88" spans="4:6" s="3" customFormat="1">
      <c r="D88" s="4"/>
      <c r="E88" s="4"/>
      <c r="F88" s="4"/>
    </row>
    <row r="89" spans="4:6" s="3" customFormat="1">
      <c r="D89" s="4"/>
      <c r="E89" s="4"/>
      <c r="F89" s="4"/>
    </row>
    <row r="90" spans="4:6" s="3" customFormat="1">
      <c r="D90" s="4"/>
      <c r="E90" s="4"/>
      <c r="F90" s="4"/>
    </row>
    <row r="91" spans="4:6" s="3" customFormat="1">
      <c r="D91" s="4"/>
      <c r="E91" s="4"/>
      <c r="F91" s="4"/>
    </row>
    <row r="92" spans="4:6" s="3" customFormat="1">
      <c r="D92" s="4"/>
      <c r="E92" s="4"/>
      <c r="F92" s="4"/>
    </row>
    <row r="93" spans="4:6" s="3" customFormat="1">
      <c r="D93" s="4"/>
      <c r="E93" s="4"/>
      <c r="F93" s="4"/>
    </row>
    <row r="94" spans="4:6" s="3" customFormat="1">
      <c r="D94" s="4"/>
      <c r="E94" s="4"/>
      <c r="F94" s="4"/>
    </row>
    <row r="95" spans="4:6" s="3" customFormat="1">
      <c r="D95" s="4"/>
      <c r="E95" s="4"/>
      <c r="F95" s="4"/>
    </row>
    <row r="96" spans="4:6" s="3" customFormat="1">
      <c r="D96" s="4"/>
      <c r="E96" s="4"/>
      <c r="F96" s="4"/>
    </row>
    <row r="97" spans="4:6" s="3" customFormat="1">
      <c r="D97" s="4"/>
      <c r="E97" s="4"/>
      <c r="F97" s="4"/>
    </row>
    <row r="98" spans="4:6" s="3" customFormat="1">
      <c r="D98" s="4"/>
      <c r="E98" s="4"/>
      <c r="F98" s="4"/>
    </row>
    <row r="99" spans="4:6" s="3" customFormat="1">
      <c r="D99" s="4"/>
      <c r="E99" s="4"/>
      <c r="F99" s="4"/>
    </row>
    <row r="100" spans="4:6" s="3" customFormat="1">
      <c r="D100" s="4"/>
      <c r="E100" s="4"/>
      <c r="F100" s="4"/>
    </row>
    <row r="101" spans="4:6" s="3" customFormat="1">
      <c r="D101" s="4"/>
      <c r="E101" s="4"/>
      <c r="F101" s="4"/>
    </row>
    <row r="102" spans="4:6" s="3" customFormat="1">
      <c r="D102" s="4"/>
      <c r="E102" s="4"/>
      <c r="F102" s="4"/>
    </row>
    <row r="103" spans="4:6" s="3" customFormat="1">
      <c r="D103" s="4"/>
      <c r="E103" s="4"/>
      <c r="F103" s="4"/>
    </row>
    <row r="104" spans="4:6" s="3" customFormat="1">
      <c r="D104" s="4"/>
      <c r="E104" s="4"/>
      <c r="F104" s="4"/>
    </row>
    <row r="105" spans="4:6" s="3" customFormat="1">
      <c r="D105" s="4"/>
      <c r="E105" s="4"/>
      <c r="F105" s="4"/>
    </row>
    <row r="106" spans="4:6" s="3" customFormat="1">
      <c r="D106" s="4"/>
      <c r="E106" s="4"/>
      <c r="F106" s="4"/>
    </row>
    <row r="107" spans="4:6" s="3" customFormat="1">
      <c r="D107" s="4"/>
      <c r="E107" s="4"/>
      <c r="F107" s="4"/>
    </row>
    <row r="108" spans="4:6" s="3" customFormat="1">
      <c r="D108" s="4"/>
      <c r="E108" s="4"/>
      <c r="F108" s="4"/>
    </row>
    <row r="109" spans="4:6" s="3" customFormat="1">
      <c r="D109" s="4"/>
      <c r="E109" s="4"/>
      <c r="F109" s="4"/>
    </row>
    <row r="110" spans="4:6" s="3" customFormat="1">
      <c r="D110" s="4"/>
      <c r="E110" s="4"/>
      <c r="F110" s="4"/>
    </row>
    <row r="111" spans="4:6" s="3" customFormat="1">
      <c r="D111" s="4"/>
      <c r="E111" s="4"/>
      <c r="F111" s="4"/>
    </row>
    <row r="112" spans="4:6" s="3" customFormat="1">
      <c r="D112" s="4"/>
      <c r="E112" s="4"/>
      <c r="F112" s="4"/>
    </row>
    <row r="113" spans="4:6" s="3" customFormat="1">
      <c r="D113" s="4"/>
      <c r="E113" s="4"/>
      <c r="F113" s="4"/>
    </row>
    <row r="114" spans="4:6" s="3" customFormat="1">
      <c r="D114" s="4"/>
      <c r="E114" s="4"/>
      <c r="F114" s="4"/>
    </row>
    <row r="115" spans="4:6" s="3" customFormat="1">
      <c r="D115" s="4"/>
      <c r="E115" s="4"/>
      <c r="F115" s="4"/>
    </row>
    <row r="116" spans="4:6" s="3" customFormat="1">
      <c r="D116" s="4"/>
      <c r="E116" s="4"/>
      <c r="F116" s="4"/>
    </row>
    <row r="117" spans="4:6" s="3" customFormat="1">
      <c r="D117" s="4"/>
      <c r="E117" s="4"/>
      <c r="F117" s="4"/>
    </row>
    <row r="118" spans="4:6" s="3" customFormat="1">
      <c r="D118" s="4"/>
      <c r="E118" s="4"/>
      <c r="F118" s="4"/>
    </row>
    <row r="119" spans="4:6" s="3" customFormat="1">
      <c r="D119" s="4"/>
      <c r="E119" s="4"/>
      <c r="F119" s="4"/>
    </row>
    <row r="120" spans="4:6" s="3" customFormat="1">
      <c r="D120" s="4"/>
      <c r="E120" s="4"/>
      <c r="F120" s="4"/>
    </row>
    <row r="121" spans="4:6" s="3" customFormat="1">
      <c r="D121" s="4"/>
      <c r="E121" s="4"/>
      <c r="F121" s="4"/>
    </row>
    <row r="122" spans="4:6" s="3" customFormat="1">
      <c r="D122" s="4"/>
      <c r="E122" s="4"/>
      <c r="F122" s="4"/>
    </row>
    <row r="123" spans="4:6" s="3" customFormat="1">
      <c r="D123" s="4"/>
      <c r="E123" s="4"/>
      <c r="F123" s="4"/>
    </row>
    <row r="124" spans="4:6" s="3" customFormat="1">
      <c r="D124" s="4"/>
      <c r="E124" s="4"/>
      <c r="F124" s="4"/>
    </row>
    <row r="125" spans="4:6" s="3" customFormat="1">
      <c r="D125" s="4"/>
      <c r="E125" s="4"/>
      <c r="F125" s="4"/>
    </row>
    <row r="126" spans="4:6" s="3" customFormat="1">
      <c r="D126" s="4"/>
      <c r="E126" s="4"/>
      <c r="F126" s="4"/>
    </row>
    <row r="127" spans="4:6" s="3" customFormat="1">
      <c r="D127" s="4"/>
      <c r="E127" s="4"/>
      <c r="F127" s="4"/>
    </row>
    <row r="128" spans="4:6" s="3" customFormat="1">
      <c r="D128" s="4"/>
      <c r="E128" s="4"/>
      <c r="F128" s="4"/>
    </row>
    <row r="129" spans="4:6" s="3" customFormat="1">
      <c r="D129" s="4"/>
      <c r="E129" s="4"/>
      <c r="F129" s="4"/>
    </row>
    <row r="130" spans="4:6" s="3" customFormat="1">
      <c r="D130" s="4"/>
      <c r="E130" s="4"/>
      <c r="F130" s="4"/>
    </row>
    <row r="131" spans="4:6" s="3" customFormat="1">
      <c r="D131" s="4"/>
      <c r="E131" s="4"/>
      <c r="F131" s="4"/>
    </row>
    <row r="132" spans="4:6" s="3" customFormat="1">
      <c r="D132" s="4"/>
      <c r="E132" s="4"/>
      <c r="F132" s="4"/>
    </row>
    <row r="133" spans="4:6" s="3" customFormat="1">
      <c r="D133" s="4"/>
      <c r="E133" s="4"/>
      <c r="F133" s="4"/>
    </row>
    <row r="134" spans="4:6" s="3" customFormat="1">
      <c r="D134" s="4"/>
      <c r="E134" s="4"/>
      <c r="F134" s="4"/>
    </row>
    <row r="135" spans="4:6" s="3" customFormat="1">
      <c r="D135" s="4"/>
      <c r="E135" s="4"/>
      <c r="F135" s="4"/>
    </row>
    <row r="136" spans="4:6" s="3" customFormat="1">
      <c r="D136" s="4"/>
      <c r="E136" s="4"/>
      <c r="F136" s="4"/>
    </row>
    <row r="137" spans="4:6" s="3" customFormat="1">
      <c r="D137" s="4"/>
      <c r="E137" s="4"/>
      <c r="F137" s="4"/>
    </row>
    <row r="138" spans="4:6" s="3" customFormat="1">
      <c r="D138" s="4"/>
      <c r="E138" s="4"/>
      <c r="F138" s="4"/>
    </row>
    <row r="139" spans="4:6" s="3" customFormat="1">
      <c r="D139" s="4"/>
      <c r="E139" s="4"/>
      <c r="F139" s="4"/>
    </row>
    <row r="140" spans="4:6" s="3" customFormat="1">
      <c r="D140" s="4"/>
      <c r="E140" s="4"/>
      <c r="F140" s="4"/>
    </row>
    <row r="141" spans="4:6" s="3" customFormat="1">
      <c r="D141" s="4"/>
      <c r="E141" s="4"/>
      <c r="F141" s="4"/>
    </row>
    <row r="142" spans="4:6" s="3" customFormat="1">
      <c r="D142" s="4"/>
      <c r="E142" s="4"/>
      <c r="F142" s="4"/>
    </row>
    <row r="143" spans="4:6" s="3" customFormat="1">
      <c r="D143" s="4"/>
      <c r="E143" s="4"/>
      <c r="F143" s="4"/>
    </row>
    <row r="144" spans="4:6" s="3" customFormat="1">
      <c r="D144" s="4"/>
      <c r="E144" s="4"/>
      <c r="F144" s="4"/>
    </row>
    <row r="145" spans="4:6" s="3" customFormat="1">
      <c r="D145" s="4"/>
      <c r="E145" s="4"/>
      <c r="F145" s="4"/>
    </row>
    <row r="146" spans="4:6" s="3" customFormat="1">
      <c r="D146" s="4"/>
      <c r="E146" s="4"/>
      <c r="F146" s="4"/>
    </row>
    <row r="147" spans="4:6" s="3" customFormat="1">
      <c r="D147" s="4"/>
      <c r="E147" s="4"/>
      <c r="F147" s="4"/>
    </row>
    <row r="148" spans="4:6" s="3" customFormat="1">
      <c r="D148" s="4"/>
      <c r="E148" s="4"/>
      <c r="F148" s="4"/>
    </row>
    <row r="149" spans="4:6" s="3" customFormat="1">
      <c r="D149" s="4"/>
      <c r="E149" s="4"/>
      <c r="F149" s="4"/>
    </row>
    <row r="150" spans="4:6" s="3" customFormat="1">
      <c r="D150" s="4"/>
      <c r="E150" s="4"/>
      <c r="F150" s="4"/>
    </row>
    <row r="151" spans="4:6" s="3" customFormat="1">
      <c r="D151" s="4"/>
      <c r="E151" s="4"/>
      <c r="F151" s="4"/>
    </row>
    <row r="152" spans="4:6" s="3" customFormat="1">
      <c r="D152" s="4"/>
      <c r="E152" s="4"/>
      <c r="F152" s="4"/>
    </row>
    <row r="153" spans="4:6" s="3" customFormat="1">
      <c r="D153" s="4"/>
      <c r="E153" s="4"/>
      <c r="F153" s="4"/>
    </row>
    <row r="154" spans="4:6" s="3" customFormat="1">
      <c r="D154" s="4"/>
      <c r="E154" s="4"/>
      <c r="F154" s="4"/>
    </row>
    <row r="155" spans="4:6" s="3" customFormat="1">
      <c r="D155" s="4"/>
      <c r="E155" s="4"/>
      <c r="F155" s="4"/>
    </row>
    <row r="156" spans="4:6" s="3" customFormat="1">
      <c r="D156" s="4"/>
      <c r="E156" s="4"/>
      <c r="F156" s="4"/>
    </row>
    <row r="157" spans="4:6" s="3" customFormat="1">
      <c r="D157" s="4"/>
      <c r="E157" s="4"/>
      <c r="F157" s="4"/>
    </row>
    <row r="158" spans="4:6" s="3" customFormat="1">
      <c r="D158" s="4"/>
      <c r="E158" s="4"/>
      <c r="F158" s="4"/>
    </row>
    <row r="159" spans="4:6" s="3" customFormat="1">
      <c r="D159" s="4"/>
      <c r="E159" s="4"/>
      <c r="F159" s="4"/>
    </row>
    <row r="160" spans="4:6" s="3" customFormat="1">
      <c r="D160" s="4"/>
      <c r="E160" s="4"/>
      <c r="F160" s="4"/>
    </row>
    <row r="161" spans="4:6" s="3" customFormat="1">
      <c r="D161" s="4"/>
      <c r="E161" s="4"/>
      <c r="F161" s="4"/>
    </row>
    <row r="162" spans="4:6" s="3" customFormat="1">
      <c r="D162" s="4"/>
      <c r="E162" s="4"/>
      <c r="F162" s="4"/>
    </row>
    <row r="163" spans="4:6" s="3" customFormat="1">
      <c r="D163" s="4"/>
      <c r="E163" s="4"/>
      <c r="F163" s="4"/>
    </row>
    <row r="164" spans="4:6" s="3" customFormat="1">
      <c r="D164" s="4"/>
      <c r="E164" s="4"/>
      <c r="F164" s="4"/>
    </row>
    <row r="165" spans="4:6" s="3" customFormat="1">
      <c r="D165" s="4"/>
      <c r="E165" s="4"/>
      <c r="F165" s="4"/>
    </row>
    <row r="166" spans="4:6" s="3" customFormat="1">
      <c r="D166" s="4"/>
      <c r="E166" s="4"/>
      <c r="F166" s="4"/>
    </row>
    <row r="167" spans="4:6" s="3" customFormat="1">
      <c r="D167" s="4"/>
      <c r="E167" s="4"/>
      <c r="F167" s="4"/>
    </row>
    <row r="168" spans="4:6" s="3" customFormat="1">
      <c r="D168" s="4"/>
      <c r="E168" s="4"/>
      <c r="F168" s="4"/>
    </row>
    <row r="169" spans="4:6" s="3" customFormat="1">
      <c r="D169" s="4"/>
      <c r="E169" s="4"/>
      <c r="F169" s="4"/>
    </row>
    <row r="170" spans="4:6" s="3" customFormat="1">
      <c r="D170" s="4"/>
      <c r="E170" s="4"/>
      <c r="F170" s="4"/>
    </row>
    <row r="171" spans="4:6" s="3" customFormat="1">
      <c r="D171" s="4"/>
      <c r="E171" s="4"/>
      <c r="F171" s="4"/>
    </row>
    <row r="172" spans="4:6" s="3" customFormat="1">
      <c r="D172" s="4"/>
      <c r="E172" s="4"/>
      <c r="F172" s="4"/>
    </row>
  </sheetData>
  <mergeCells count="4">
    <mergeCell ref="A30:A42"/>
    <mergeCell ref="A17:A29"/>
    <mergeCell ref="A4:A16"/>
    <mergeCell ref="A43:A55"/>
  </mergeCells>
  <pageMargins left="0.25" right="0.25" top="0.75" bottom="0.75" header="0.3" footer="0.3"/>
  <pageSetup paperSize="9" scale="54" orientation="landscape" r:id="rId1"/>
  <rowBreaks count="1" manualBreakCount="1">
    <brk id="51" max="11" man="1"/>
  </rowBreaks>
  <colBreaks count="1" manualBreakCount="1">
    <brk id="2" max="54" man="1"/>
  </colBreaks>
  <ignoredErrors>
    <ignoredError sqref="C52" emptyCellReferenc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2019-03-11T12:31:57Z</dcterms:modified>
</cp:coreProperties>
</file>