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PRANIMET!$A$1:$L$68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G59" i="6"/>
  <c r="E59" s="1"/>
  <c r="D59" s="1"/>
  <c r="L59"/>
  <c r="Q59"/>
  <c r="Q60"/>
  <c r="Q61"/>
  <c r="Q62"/>
  <c r="Q63"/>
  <c r="K59"/>
  <c r="K60"/>
  <c r="D60" s="1"/>
  <c r="K61"/>
  <c r="K62"/>
  <c r="C62" s="1"/>
  <c r="K63"/>
  <c r="C63" s="1"/>
  <c r="K64"/>
  <c r="D64" s="1"/>
  <c r="D61"/>
  <c r="E60"/>
  <c r="E61"/>
  <c r="E62"/>
  <c r="E63"/>
  <c r="E64"/>
  <c r="E65"/>
  <c r="E66"/>
  <c r="E67"/>
  <c r="E68"/>
  <c r="E69"/>
  <c r="D62"/>
  <c r="D65"/>
  <c r="D66"/>
  <c r="D67"/>
  <c r="C60"/>
  <c r="J56" i="12"/>
  <c r="J68" s="1"/>
  <c r="Q58" i="6"/>
  <c r="V70"/>
  <c r="O70"/>
  <c r="B70"/>
  <c r="Q69"/>
  <c r="K69"/>
  <c r="B69"/>
  <c r="Q68"/>
  <c r="K68"/>
  <c r="B68"/>
  <c r="Q67"/>
  <c r="K67"/>
  <c r="B67"/>
  <c r="Q66"/>
  <c r="K66"/>
  <c r="B66"/>
  <c r="Q65"/>
  <c r="K65"/>
  <c r="B65"/>
  <c r="Q64"/>
  <c r="N70"/>
  <c r="L70"/>
  <c r="B64"/>
  <c r="B63"/>
  <c r="U70"/>
  <c r="M70"/>
  <c r="B62"/>
  <c r="B61"/>
  <c r="T70"/>
  <c r="P70"/>
  <c r="J70"/>
  <c r="I70"/>
  <c r="H70"/>
  <c r="G70"/>
  <c r="B60"/>
  <c r="S70"/>
  <c r="F70"/>
  <c r="B59"/>
  <c r="K58"/>
  <c r="E58"/>
  <c r="B58"/>
  <c r="K68" i="12"/>
  <c r="I68"/>
  <c r="H68"/>
  <c r="G68"/>
  <c r="F68"/>
  <c r="E68"/>
  <c r="D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L68"/>
  <c r="B56"/>
  <c r="P56" i="6"/>
  <c r="L56"/>
  <c r="O57"/>
  <c r="E56"/>
  <c r="E55"/>
  <c r="Q54"/>
  <c r="J54"/>
  <c r="E54" s="1"/>
  <c r="E53"/>
  <c r="G52"/>
  <c r="S52"/>
  <c r="L52"/>
  <c r="C59" l="1"/>
  <c r="C61"/>
  <c r="D63"/>
  <c r="C66"/>
  <c r="C68"/>
  <c r="C69"/>
  <c r="C68" i="12"/>
  <c r="C58" i="6"/>
  <c r="D68"/>
  <c r="C67"/>
  <c r="C65"/>
  <c r="Q70"/>
  <c r="R70"/>
  <c r="D58"/>
  <c r="E70"/>
  <c r="D69"/>
  <c r="C56" i="12"/>
  <c r="I52" i="6"/>
  <c r="M52"/>
  <c r="P52"/>
  <c r="J52"/>
  <c r="E52" s="1"/>
  <c r="K70" l="1"/>
  <c r="C70" s="1"/>
  <c r="D70"/>
  <c r="C64"/>
  <c r="L51"/>
  <c r="M51"/>
  <c r="P51" l="1"/>
  <c r="N51"/>
  <c r="E51"/>
  <c r="G47"/>
  <c r="L57"/>
  <c r="N57"/>
  <c r="V57"/>
  <c r="U49"/>
  <c r="U57" s="1"/>
  <c r="J50"/>
  <c r="T50"/>
  <c r="H50"/>
  <c r="M50"/>
  <c r="S50"/>
  <c r="G50"/>
  <c r="P50"/>
  <c r="R50"/>
  <c r="I50"/>
  <c r="F50"/>
  <c r="M49"/>
  <c r="H49"/>
  <c r="G48"/>
  <c r="F48"/>
  <c r="J48"/>
  <c r="H48"/>
  <c r="T48"/>
  <c r="S48"/>
  <c r="R48"/>
  <c r="P47"/>
  <c r="P57" s="1"/>
  <c r="J47"/>
  <c r="I47"/>
  <c r="I57" s="1"/>
  <c r="T47"/>
  <c r="T57" s="1"/>
  <c r="H47"/>
  <c r="H57" s="1"/>
  <c r="F46"/>
  <c r="M57" l="1"/>
  <c r="E46"/>
  <c r="F57"/>
  <c r="J57"/>
  <c r="E50"/>
  <c r="Q50"/>
  <c r="E47"/>
  <c r="E48"/>
  <c r="E49"/>
  <c r="K46"/>
  <c r="S46"/>
  <c r="S57" s="1"/>
  <c r="R46"/>
  <c r="R57" s="1"/>
  <c r="G57"/>
  <c r="F43"/>
  <c r="M43"/>
  <c r="L43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55" i="12"/>
  <c r="G55"/>
  <c r="J55"/>
  <c r="H55"/>
  <c r="E55"/>
  <c r="D55"/>
  <c r="B55"/>
  <c r="B54"/>
  <c r="K55"/>
  <c r="I55"/>
  <c r="F55"/>
  <c r="B53"/>
  <c r="B52"/>
  <c r="B51"/>
  <c r="B50"/>
  <c r="B49"/>
  <c r="B48"/>
  <c r="B47"/>
  <c r="B46"/>
  <c r="B45"/>
  <c r="B44"/>
  <c r="B43"/>
  <c r="T43" i="6"/>
  <c r="Q43" s="1"/>
  <c r="K43"/>
  <c r="D48" l="1"/>
  <c r="C48"/>
  <c r="C52"/>
  <c r="E45"/>
  <c r="C45" s="1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55" i="12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58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61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<sst xmlns="http://schemas.openxmlformats.org/spreadsheetml/2006/main" count="952" uniqueCount="879">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</sst>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</font>
    <font>
      <sz val="9"/>
      <color theme="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38" borderId="36" xfId="1" applyNumberFormat="1" applyFont="1" applyFill="1" applyBorder="1" applyAlignment="1">
      <alignment horizontal="right"/>
    </xf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0" fontId="26" fillId="0" borderId="0" xfId="0" applyFont="1"/>
    <xf numFmtId="168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37" fillId="38" borderId="36" xfId="1" applyNumberFormat="1" applyFont="1" applyFill="1" applyBorder="1" applyAlignment="1">
      <alignment horizontal="right"/>
    </xf>
    <xf numFmtId="3" fontId="37" fillId="2" borderId="36" xfId="1" applyNumberFormat="1" applyFont="1" applyFill="1" applyBorder="1" applyAlignment="1">
      <alignment horizontal="right"/>
    </xf>
    <xf numFmtId="3" fontId="37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164" fontId="0" fillId="0" borderId="0" xfId="0" applyNumberFormat="1" applyProtection="1">
      <protection hidden="1"/>
    </xf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4" fontId="0" fillId="2" borderId="0" xfId="0" applyNumberFormat="1" applyFont="1" applyFill="1" applyBorder="1"/>
    <xf numFmtId="4" fontId="42" fillId="38" borderId="38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1" fillId="2" borderId="3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9" xfId="1" applyNumberFormat="1" applyFont="1" applyFill="1" applyBorder="1" applyProtection="1">
      <protection hidden="1"/>
    </xf>
    <xf numFmtId="4" fontId="44" fillId="0" borderId="13" xfId="139" applyNumberFormat="1" applyFont="1" applyBorder="1" applyAlignment="1">
      <alignment wrapText="1"/>
    </xf>
    <xf numFmtId="4" fontId="45" fillId="0" borderId="13" xfId="139" applyNumberFormat="1" applyFont="1" applyBorder="1"/>
    <xf numFmtId="3" fontId="0" fillId="2" borderId="0" xfId="0" applyNumberFormat="1" applyFont="1" applyFill="1"/>
    <xf numFmtId="4" fontId="0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Protection="1">
      <protection hidden="1"/>
    </xf>
    <xf numFmtId="4" fontId="18" fillId="0" borderId="0" xfId="0" applyNumberFormat="1" applyFont="1" applyProtection="1">
      <protection hidden="1"/>
    </xf>
    <xf numFmtId="4" fontId="0" fillId="0" borderId="0" xfId="0" applyNumberFormat="1"/>
    <xf numFmtId="4" fontId="46" fillId="0" borderId="13" xfId="0" applyNumberFormat="1" applyFont="1" applyBorder="1" applyAlignment="1">
      <alignment wrapText="1"/>
    </xf>
    <xf numFmtId="170" fontId="0" fillId="2" borderId="0" xfId="0" applyNumberFormat="1" applyFont="1" applyFill="1"/>
    <xf numFmtId="3" fontId="0" fillId="0" borderId="12" xfId="1" applyNumberFormat="1" applyFont="1" applyBorder="1"/>
    <xf numFmtId="4" fontId="37" fillId="0" borderId="40" xfId="0" applyNumberFormat="1" applyFont="1" applyBorder="1" applyAlignment="1">
      <alignment wrapText="1"/>
    </xf>
    <xf numFmtId="168" fontId="29" fillId="38" borderId="41" xfId="1" applyNumberFormat="1" applyFont="1" applyFill="1" applyBorder="1" applyAlignment="1">
      <alignment horizontal="right"/>
    </xf>
    <xf numFmtId="168" fontId="29" fillId="2" borderId="41" xfId="1" applyNumberFormat="1" applyFont="1" applyFill="1" applyBorder="1" applyAlignment="1">
      <alignment horizontal="right"/>
    </xf>
    <xf numFmtId="168" fontId="29" fillId="2" borderId="41" xfId="0" applyNumberFormat="1" applyFont="1" applyFill="1" applyBorder="1" applyAlignment="1">
      <alignment horizontal="right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85"/>
  <sheetViews>
    <sheetView zoomScaleNormal="100" zoomScaleSheetLayoutView="80" workbookViewId="0">
      <pane xSplit="2" ySplit="5" topLeftCell="D37" activePane="bottomRight" state="frozen"/>
      <selection pane="topRight" activeCell="B1" sqref="B1"/>
      <selection pane="bottomLeft" activeCell="A6" sqref="A6"/>
      <selection pane="bottomRight" activeCell="D59" sqref="D59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21.28515625" style="71" customWidth="1"/>
    <col min="4" max="4" width="19.5703125" style="71" customWidth="1"/>
    <col min="5" max="5" width="14.42578125" style="96" customWidth="1"/>
    <col min="6" max="6" width="15.28515625" style="71" customWidth="1"/>
    <col min="7" max="7" width="13.7109375" style="71" customWidth="1"/>
    <col min="8" max="8" width="16.28515625" style="71" customWidth="1"/>
    <col min="9" max="9" width="12.85546875" style="71" customWidth="1"/>
    <col min="10" max="10" width="11.42578125" style="71" customWidth="1"/>
    <col min="11" max="11" width="12.85546875" style="71" customWidth="1"/>
    <col min="12" max="12" width="15" style="71" customWidth="1"/>
    <col min="13" max="13" width="11.5703125" style="71" customWidth="1"/>
    <col min="14" max="14" width="12.1406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268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269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270"/>
      <c r="B3" s="270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70"/>
      <c r="B4" s="270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271"/>
      <c r="B5" s="271"/>
      <c r="C5" s="84" t="str">
        <f>IF(L!$A$1=1,L!I4,IF(L!$A$1=2,L!I13,L!I23))</f>
        <v>Gjithsejt Pagesat</v>
      </c>
      <c r="D5" s="205" t="str">
        <f>IF(L!$A$1=1,L!J4,IF(L!$A$1=2,L!J13,L!J23))</f>
        <v>Shpenzimet</v>
      </c>
      <c r="E5" s="205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5" t="s">
        <v>868</v>
      </c>
      <c r="L5" s="84" t="s">
        <v>0</v>
      </c>
      <c r="M5" s="84" t="s">
        <v>32</v>
      </c>
      <c r="N5" s="84" t="s">
        <v>33</v>
      </c>
      <c r="O5" s="206" t="s">
        <v>21</v>
      </c>
      <c r="P5" s="84" t="s">
        <v>35</v>
      </c>
      <c r="Q5" s="206" t="s">
        <v>869</v>
      </c>
      <c r="R5" s="84" t="s">
        <v>0</v>
      </c>
      <c r="S5" s="84" t="s">
        <v>32</v>
      </c>
      <c r="T5" s="84" t="s">
        <v>33</v>
      </c>
      <c r="U5" s="206" t="s">
        <v>21</v>
      </c>
      <c r="V5" s="84" t="s">
        <v>35</v>
      </c>
    </row>
    <row r="6" spans="1:22">
      <c r="A6" s="272">
        <v>2015</v>
      </c>
      <c r="B6" s="86" t="str">
        <f>IF(L!$A$1=1,L!B127,IF(L!$A$1=2,L!C127,L!D127))</f>
        <v>2015 Janar</v>
      </c>
      <c r="C6" s="87">
        <f>E6+K6+Q6</f>
        <v>1282678.73</v>
      </c>
      <c r="D6" s="204">
        <f>+E6+K6+Q6</f>
        <v>1282678.73</v>
      </c>
      <c r="E6" s="204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4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272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272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272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272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272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272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272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272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272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272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272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272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65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65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65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65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65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65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65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65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65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66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66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66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267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65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65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65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65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65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65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65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265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265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266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266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266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4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267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6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8">
        <f t="shared" ref="L44:P44" si="19">SUM(L32:L43)</f>
        <v>8890808.2799999993</v>
      </c>
      <c r="M44" s="208">
        <f t="shared" si="19"/>
        <v>848730.34</v>
      </c>
      <c r="N44" s="208">
        <f t="shared" si="19"/>
        <v>131953.84</v>
      </c>
      <c r="O44" s="208">
        <f t="shared" si="19"/>
        <v>0</v>
      </c>
      <c r="P44" s="208">
        <f t="shared" si="19"/>
        <v>772559.72</v>
      </c>
      <c r="Q44" s="208">
        <f>SUM(R44:V44)</f>
        <v>3332142.4499999993</v>
      </c>
      <c r="R44" s="208">
        <f t="shared" ref="R44:V44" si="20">SUM(R32:R43)</f>
        <v>2499008.9199999995</v>
      </c>
      <c r="S44" s="208">
        <f t="shared" si="20"/>
        <v>489702.07</v>
      </c>
      <c r="T44" s="208">
        <f>SUM(T33:T43)</f>
        <v>106185.66</v>
      </c>
      <c r="U44" s="208">
        <f t="shared" si="20"/>
        <v>18050</v>
      </c>
      <c r="V44" s="208">
        <f t="shared" si="20"/>
        <v>219195.80000000002</v>
      </c>
    </row>
    <row r="45" spans="1:22">
      <c r="A45" s="265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41">
        <f t="shared" si="17"/>
        <v>630405.65</v>
      </c>
      <c r="F45" s="242">
        <v>151110.51999999999</v>
      </c>
      <c r="G45" s="242">
        <v>207337</v>
      </c>
      <c r="H45" s="242">
        <v>57634.53</v>
      </c>
      <c r="I45" s="242"/>
      <c r="J45" s="243">
        <v>214323.6</v>
      </c>
      <c r="K45" s="214">
        <f t="shared" ref="K45:K50" si="23">SUM(L45:P45)</f>
        <v>922954.33000000007</v>
      </c>
      <c r="L45" s="215">
        <v>765617.54</v>
      </c>
      <c r="M45" s="215">
        <v>74096.740000000005</v>
      </c>
      <c r="N45" s="215">
        <v>10247.049999999999</v>
      </c>
      <c r="O45" s="213"/>
      <c r="P45" s="213">
        <v>72993</v>
      </c>
      <c r="Q45" s="135">
        <f t="shared" ref="Q45:Q50" si="24">SUM(R45:V45)</f>
        <v>349721.18000000005</v>
      </c>
      <c r="R45" s="214">
        <v>215314.59</v>
      </c>
      <c r="S45" s="135">
        <v>81425.73</v>
      </c>
      <c r="T45" s="209">
        <v>20166.46</v>
      </c>
      <c r="U45" s="135"/>
      <c r="V45" s="135">
        <v>32814.400000000001</v>
      </c>
    </row>
    <row r="46" spans="1:22">
      <c r="A46" s="265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41">
        <f t="shared" si="17"/>
        <v>1066536.8500000001</v>
      </c>
      <c r="F46" s="242">
        <f>376247.45-2733.94-204277.62-9088.93</f>
        <v>160146.96000000002</v>
      </c>
      <c r="G46" s="244">
        <v>189704.4</v>
      </c>
      <c r="H46" s="244">
        <v>52794.96</v>
      </c>
      <c r="I46" s="244">
        <v>2000</v>
      </c>
      <c r="J46" s="243">
        <v>661890.53</v>
      </c>
      <c r="K46" s="214">
        <f t="shared" si="23"/>
        <v>999265.12</v>
      </c>
      <c r="L46" s="214">
        <v>783043.99</v>
      </c>
      <c r="M46" s="216">
        <v>135649.06</v>
      </c>
      <c r="N46" s="216">
        <v>17169.37</v>
      </c>
      <c r="O46" s="210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10">
        <f>264.48+45009.2+2725.5</f>
        <v>47999.18</v>
      </c>
      <c r="T46" s="135">
        <v>5934.51</v>
      </c>
      <c r="U46" s="210"/>
      <c r="V46" s="135">
        <v>8884.9</v>
      </c>
    </row>
    <row r="47" spans="1:22">
      <c r="A47" s="265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41">
        <f t="shared" si="17"/>
        <v>702467.41999999993</v>
      </c>
      <c r="F47" s="242">
        <v>155923.15</v>
      </c>
      <c r="G47" s="244">
        <f>138864.64-379.3</f>
        <v>138485.34000000003</v>
      </c>
      <c r="H47" s="244">
        <f>2852.8+19941.34+1604.63+8167.76</f>
        <v>32566.53</v>
      </c>
      <c r="I47" s="244">
        <f>46000+16000</f>
        <v>62000</v>
      </c>
      <c r="J47" s="243">
        <f>4563.05+55426.78+1154.96+103385.5+20151.88+120168.93+8641.3</f>
        <v>313492.39999999997</v>
      </c>
      <c r="K47" s="214">
        <f t="shared" si="23"/>
        <v>914210.39</v>
      </c>
      <c r="L47" s="214">
        <v>760597.15000000014</v>
      </c>
      <c r="M47" s="216">
        <v>96267.199999999997</v>
      </c>
      <c r="N47" s="216">
        <v>9412.84</v>
      </c>
      <c r="O47" s="210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10">
        <v>38617</v>
      </c>
      <c r="T47" s="210">
        <f>3640.97+541.35</f>
        <v>4182.32</v>
      </c>
      <c r="U47" s="210"/>
      <c r="V47" s="135">
        <v>11290</v>
      </c>
    </row>
    <row r="48" spans="1:22">
      <c r="A48" s="265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41">
        <f t="shared" si="17"/>
        <v>686205.89999999991</v>
      </c>
      <c r="F48" s="242">
        <f>368158.8-2733.94-202065.3-9088.93</f>
        <v>154270.63</v>
      </c>
      <c r="G48" s="242">
        <f>279831.15-929.82-73342.77-2026.46</f>
        <v>203532.1</v>
      </c>
      <c r="H48" s="242">
        <f>57468.19-1907.26-11213.05</f>
        <v>44347.880000000005</v>
      </c>
      <c r="I48" s="242">
        <v>37117.599999999999</v>
      </c>
      <c r="J48" s="243">
        <f>278417.69-31480</f>
        <v>246937.69</v>
      </c>
      <c r="K48" s="214">
        <f t="shared" si="23"/>
        <v>919579.58</v>
      </c>
      <c r="L48" s="214">
        <v>759811.7</v>
      </c>
      <c r="M48" s="214">
        <v>89425.26</v>
      </c>
      <c r="N48" s="214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10">
        <f>1907.26+11213.05</f>
        <v>13120.31</v>
      </c>
      <c r="U48" s="135"/>
      <c r="V48" s="135">
        <v>31480</v>
      </c>
    </row>
    <row r="49" spans="1:22">
      <c r="A49" s="265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45">
        <f t="shared" si="17"/>
        <v>507296.81999999995</v>
      </c>
      <c r="F49" s="246">
        <v>154287</v>
      </c>
      <c r="G49" s="246">
        <v>121627</v>
      </c>
      <c r="H49" s="246">
        <f>46486-727.62-8072.78</f>
        <v>37685.599999999999</v>
      </c>
      <c r="I49" s="246">
        <v>46500</v>
      </c>
      <c r="J49" s="247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9">
        <v>33987.94</v>
      </c>
    </row>
    <row r="50" spans="1:22">
      <c r="A50" s="265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45">
        <f t="shared" si="17"/>
        <v>569679.85</v>
      </c>
      <c r="F50" s="246">
        <f>375525.42-213980</f>
        <v>161545.41999999998</v>
      </c>
      <c r="G50" s="246">
        <f>89778.86-246.07-307.9-27943.99</f>
        <v>61280.899999999994</v>
      </c>
      <c r="H50" s="246">
        <f>30837.14-354.12-4469.2</f>
        <v>26013.82</v>
      </c>
      <c r="I50" s="246">
        <f>1907+22495.95+13882.2</f>
        <v>38285.15</v>
      </c>
      <c r="J50" s="247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265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45">
        <f t="shared" si="17"/>
        <v>1637767.74</v>
      </c>
      <c r="F51" s="246">
        <v>157459.29</v>
      </c>
      <c r="G51" s="246">
        <v>142815.98000000001</v>
      </c>
      <c r="H51" s="246">
        <v>34993.910000000003</v>
      </c>
      <c r="I51" s="246">
        <v>65919.199999999997</v>
      </c>
      <c r="J51" s="248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35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265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45">
        <f t="shared" si="17"/>
        <v>569796.5</v>
      </c>
      <c r="F52" s="124">
        <v>158797.20000000001</v>
      </c>
      <c r="G52" s="124">
        <f>167795.34-48163-16657.98</f>
        <v>102974.36</v>
      </c>
      <c r="H52" s="124">
        <v>16832.240000000002</v>
      </c>
      <c r="I52" s="124">
        <f>12701.8+1500+8368.2</f>
        <v>22570</v>
      </c>
      <c r="J52" s="247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265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45">
        <f t="shared" si="17"/>
        <v>703236.57000000007</v>
      </c>
      <c r="F53" s="124">
        <v>155570.15</v>
      </c>
      <c r="G53" s="124">
        <v>73470.179999999993</v>
      </c>
      <c r="H53" s="124">
        <v>20963.28</v>
      </c>
      <c r="I53" s="124">
        <v>4490</v>
      </c>
      <c r="J53" s="12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266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45">
        <f t="shared" si="17"/>
        <v>1032139.23</v>
      </c>
      <c r="F54" s="124">
        <v>157295.32</v>
      </c>
      <c r="G54" s="124">
        <v>96623.3</v>
      </c>
      <c r="H54" s="124">
        <v>47609.440000000002</v>
      </c>
      <c r="I54" s="124"/>
      <c r="J54" s="124">
        <f>734638.17-4027</f>
        <v>730611.17</v>
      </c>
      <c r="K54" s="87">
        <f t="shared" si="25"/>
        <v>922967.3</v>
      </c>
      <c r="L54" s="87">
        <v>751234.27</v>
      </c>
      <c r="M54" s="239">
        <v>20565.169999999998</v>
      </c>
      <c r="N54" s="240">
        <v>21824.46</v>
      </c>
      <c r="O54" s="239"/>
      <c r="P54" s="239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266"/>
      <c r="B55" s="86" t="str">
        <f>IF(L!$A$1=1,L!B176,IF(L!$A$1=2,L!C176,L!D176))</f>
        <v xml:space="preserve">2018 Nëntor </v>
      </c>
      <c r="C55" s="87">
        <f t="shared" si="21"/>
        <v>2141106.08</v>
      </c>
      <c r="D55" s="87">
        <f t="shared" si="22"/>
        <v>2141106.08</v>
      </c>
      <c r="E55" s="245">
        <f t="shared" si="17"/>
        <v>889220.08000000007</v>
      </c>
      <c r="F55" s="249">
        <v>156487.67999999999</v>
      </c>
      <c r="G55" s="250">
        <v>68806.37</v>
      </c>
      <c r="H55" s="124">
        <v>38184.589999999997</v>
      </c>
      <c r="I55" s="124">
        <v>778.4</v>
      </c>
      <c r="J55" s="124">
        <v>624963.04</v>
      </c>
      <c r="K55" s="87">
        <f t="shared" si="25"/>
        <v>964471.94000000006</v>
      </c>
      <c r="L55" s="87">
        <v>750354.39</v>
      </c>
      <c r="M55" s="87">
        <v>108485.68</v>
      </c>
      <c r="N55" s="87">
        <v>10324.870000000001</v>
      </c>
      <c r="O55" s="87"/>
      <c r="P55" s="87">
        <v>95307</v>
      </c>
      <c r="Q55" s="87">
        <f t="shared" si="26"/>
        <v>287414.06</v>
      </c>
      <c r="R55" s="87">
        <v>212210.47</v>
      </c>
      <c r="S55" s="87">
        <v>60214</v>
      </c>
      <c r="T55" s="87">
        <v>5489.59</v>
      </c>
      <c r="U55" s="87"/>
      <c r="V55" s="87">
        <v>9500</v>
      </c>
    </row>
    <row r="56" spans="1:22">
      <c r="A56" s="266"/>
      <c r="B56" s="86" t="str">
        <f>IF(L!$A$1=1,L!B177,IF(L!$A$1=2,L!C177,L!D177))</f>
        <v>2018 Dhjetor</v>
      </c>
      <c r="C56" s="87">
        <f t="shared" si="21"/>
        <v>2493940.1799999997</v>
      </c>
      <c r="D56" s="87">
        <f t="shared" si="22"/>
        <v>2493940.1799999997</v>
      </c>
      <c r="E56" s="245">
        <f t="shared" si="17"/>
        <v>1210116.45</v>
      </c>
      <c r="F56" s="144">
        <v>185547.95</v>
      </c>
      <c r="G56" s="87">
        <v>28173.5</v>
      </c>
      <c r="H56" s="87">
        <v>58055</v>
      </c>
      <c r="I56" s="87">
        <v>800</v>
      </c>
      <c r="J56" s="87">
        <v>937540</v>
      </c>
      <c r="K56" s="87">
        <f t="shared" si="25"/>
        <v>994641.35</v>
      </c>
      <c r="L56" s="87">
        <f>791718.12+75.47</f>
        <v>791793.59</v>
      </c>
      <c r="M56" s="87">
        <v>48405</v>
      </c>
      <c r="N56" s="87">
        <v>4707.9799999999996</v>
      </c>
      <c r="O56" s="87"/>
      <c r="P56" s="87">
        <f>127841.48+21893.3</f>
        <v>149734.78</v>
      </c>
      <c r="Q56" s="87">
        <f t="shared" si="26"/>
        <v>289182.38</v>
      </c>
      <c r="R56" s="87">
        <v>216430.34</v>
      </c>
      <c r="S56" s="87">
        <v>24589.59</v>
      </c>
      <c r="T56" s="87">
        <v>17307</v>
      </c>
      <c r="U56" s="87"/>
      <c r="V56" s="87">
        <v>30855.45</v>
      </c>
    </row>
    <row r="57" spans="1:22">
      <c r="A57" s="267"/>
      <c r="B57" s="93" t="str">
        <f>IF(L!$A$1=1,L!B178,IF(L!$A$1=2,L!C178,L!D178))</f>
        <v>Gjithsej 2018</v>
      </c>
      <c r="C57" s="94">
        <f t="shared" si="21"/>
        <v>24804410.57</v>
      </c>
      <c r="D57" s="95">
        <f>SUM(D45:D56)</f>
        <v>24804410.57</v>
      </c>
      <c r="E57" s="95">
        <f t="shared" ref="E57:V57" si="27">SUM(E45:E56)</f>
        <v>10204869.059999999</v>
      </c>
      <c r="F57" s="95">
        <f t="shared" si="27"/>
        <v>1908441.2699999998</v>
      </c>
      <c r="G57" s="95">
        <f t="shared" si="27"/>
        <v>1434830.4300000002</v>
      </c>
      <c r="H57" s="95">
        <f t="shared" si="27"/>
        <v>467681.78</v>
      </c>
      <c r="I57" s="95">
        <f t="shared" si="27"/>
        <v>280460.35000000003</v>
      </c>
      <c r="J57" s="95">
        <f t="shared" si="27"/>
        <v>6113455.2300000004</v>
      </c>
      <c r="K57" s="95">
        <f t="shared" si="27"/>
        <v>11135296.4</v>
      </c>
      <c r="L57" s="95">
        <f t="shared" si="27"/>
        <v>9169552.7300000004</v>
      </c>
      <c r="M57" s="95">
        <f t="shared" si="27"/>
        <v>832273.65000000014</v>
      </c>
      <c r="N57" s="95">
        <f t="shared" si="27"/>
        <v>133455.17000000001</v>
      </c>
      <c r="O57" s="95">
        <f t="shared" si="27"/>
        <v>0</v>
      </c>
      <c r="P57" s="95">
        <f t="shared" si="27"/>
        <v>1000014.8500000001</v>
      </c>
      <c r="Q57" s="95">
        <f t="shared" si="27"/>
        <v>3464245.11</v>
      </c>
      <c r="R57" s="95">
        <f t="shared" si="27"/>
        <v>2566061.9</v>
      </c>
      <c r="S57" s="95">
        <f t="shared" si="27"/>
        <v>566985.47000000009</v>
      </c>
      <c r="T57" s="95">
        <f t="shared" si="27"/>
        <v>105480.59</v>
      </c>
      <c r="U57" s="95">
        <f t="shared" si="27"/>
        <v>19800</v>
      </c>
      <c r="V57" s="95">
        <f t="shared" si="27"/>
        <v>205917.15000000002</v>
      </c>
    </row>
    <row r="58" spans="1:22">
      <c r="A58" s="265">
        <v>2019</v>
      </c>
      <c r="B58" s="86" t="str">
        <f>IF(L!$A$1=1,L!B179,IF(L!$A$1=2,L!C179,L!D179))</f>
        <v>2019 Janar</v>
      </c>
      <c r="C58" s="135">
        <f t="shared" ref="C58:C70" si="28">E58+K58+Q58</f>
        <v>1308439.5799999998</v>
      </c>
      <c r="D58" s="135">
        <f t="shared" ref="D58:E69" si="29">+E58+K58+Q58</f>
        <v>1308439.5799999998</v>
      </c>
      <c r="E58" s="241">
        <f t="shared" ref="E58" si="30">SUM(F58:J58)</f>
        <v>270911.25</v>
      </c>
      <c r="F58" s="242">
        <v>157638.14000000001</v>
      </c>
      <c r="G58" s="242">
        <v>74968.020000000019</v>
      </c>
      <c r="H58" s="242">
        <v>38305.089999999997</v>
      </c>
      <c r="I58" s="242"/>
      <c r="J58" s="243"/>
      <c r="K58" s="214">
        <f t="shared" ref="K58" si="31">SUM(L58:P58)</f>
        <v>784318.95</v>
      </c>
      <c r="L58" s="215">
        <v>759520.95</v>
      </c>
      <c r="M58" s="215">
        <v>16284</v>
      </c>
      <c r="N58" s="215">
        <v>8514</v>
      </c>
      <c r="O58" s="213"/>
      <c r="P58" s="213"/>
      <c r="Q58" s="135">
        <f t="shared" ref="Q58:Q63" si="32">SUM(R58:V58)</f>
        <v>253209.37999999998</v>
      </c>
      <c r="R58" s="214">
        <v>215160.78999999998</v>
      </c>
      <c r="S58" s="135">
        <v>30103.94</v>
      </c>
      <c r="T58" s="209">
        <v>7944.65</v>
      </c>
      <c r="U58" s="135"/>
      <c r="V58" s="135"/>
    </row>
    <row r="59" spans="1:22">
      <c r="A59" s="265"/>
      <c r="B59" s="86" t="str">
        <f>IF(L!$A$1=1,L!B180,IF(L!$A$1=2,L!C180,L!D180))</f>
        <v>2019 Shkurt</v>
      </c>
      <c r="C59" s="87">
        <f t="shared" si="28"/>
        <v>1375530.8199999998</v>
      </c>
      <c r="D59" s="135">
        <f t="shared" si="29"/>
        <v>1375530.8199999998</v>
      </c>
      <c r="E59" s="87">
        <f>+F59+G59+H59+I59+J59</f>
        <v>283590.98</v>
      </c>
      <c r="F59" s="242">
        <v>156189.18</v>
      </c>
      <c r="G59" s="244">
        <f>98572.53-9574.69-77.5</f>
        <v>88920.34</v>
      </c>
      <c r="H59" s="257">
        <v>38481.460000000006</v>
      </c>
      <c r="I59" s="244"/>
      <c r="J59" s="243"/>
      <c r="K59" s="87">
        <f t="shared" ref="K59:K64" si="33">SUM(L59:P59)</f>
        <v>838533.91999999993</v>
      </c>
      <c r="L59" s="214">
        <f>762106.48+381.83</f>
        <v>762488.30999999994</v>
      </c>
      <c r="M59" s="216">
        <v>62344.21</v>
      </c>
      <c r="N59" s="71">
        <v>13701.4</v>
      </c>
      <c r="O59" s="210"/>
      <c r="P59" s="135"/>
      <c r="Q59" s="87">
        <f t="shared" si="32"/>
        <v>253405.91999999998</v>
      </c>
      <c r="R59" s="135">
        <v>215123.46</v>
      </c>
      <c r="S59" s="210">
        <v>30321.84</v>
      </c>
      <c r="T59" s="257">
        <v>7960.62</v>
      </c>
      <c r="U59" s="210"/>
      <c r="V59" s="135"/>
    </row>
    <row r="60" spans="1:22">
      <c r="A60" s="265"/>
      <c r="B60" s="86" t="str">
        <f>IF(L!$A$1=1,L!B181,IF(L!$A$1=2,L!C181,L!D181))</f>
        <v xml:space="preserve">2019 Mars </v>
      </c>
      <c r="C60" s="87">
        <f t="shared" si="28"/>
        <v>0</v>
      </c>
      <c r="D60" s="87">
        <f t="shared" si="29"/>
        <v>0</v>
      </c>
      <c r="E60" s="87">
        <f t="shared" si="29"/>
        <v>0</v>
      </c>
      <c r="F60" s="242"/>
      <c r="G60" s="244"/>
      <c r="H60" s="244"/>
      <c r="I60" s="244"/>
      <c r="J60" s="243"/>
      <c r="K60" s="87">
        <f t="shared" si="33"/>
        <v>0</v>
      </c>
      <c r="L60" s="214"/>
      <c r="M60" s="216"/>
      <c r="N60" s="216"/>
      <c r="O60" s="210"/>
      <c r="P60" s="135"/>
      <c r="Q60" s="87">
        <f t="shared" si="32"/>
        <v>0</v>
      </c>
      <c r="R60" s="135"/>
      <c r="S60" s="210"/>
      <c r="T60" s="210"/>
      <c r="U60" s="210"/>
      <c r="V60" s="135"/>
    </row>
    <row r="61" spans="1:22">
      <c r="A61" s="265"/>
      <c r="B61" s="86" t="str">
        <f>IF(L!$A$1=1,L!B182,IF(L!$A$1=2,L!C182,L!D182))</f>
        <v>2019 Prill</v>
      </c>
      <c r="C61" s="87">
        <f t="shared" si="28"/>
        <v>0</v>
      </c>
      <c r="D61" s="87">
        <f t="shared" si="29"/>
        <v>0</v>
      </c>
      <c r="E61" s="87">
        <f t="shared" si="29"/>
        <v>0</v>
      </c>
      <c r="F61" s="242"/>
      <c r="G61" s="242"/>
      <c r="H61" s="242"/>
      <c r="I61" s="242"/>
      <c r="J61" s="243"/>
      <c r="K61" s="87">
        <f t="shared" si="33"/>
        <v>0</v>
      </c>
      <c r="L61" s="214"/>
      <c r="M61" s="214"/>
      <c r="N61" s="214"/>
      <c r="O61" s="135"/>
      <c r="P61" s="135"/>
      <c r="Q61" s="87">
        <f t="shared" si="32"/>
        <v>0</v>
      </c>
      <c r="R61" s="135"/>
      <c r="S61" s="135"/>
      <c r="T61" s="210"/>
      <c r="U61" s="135"/>
      <c r="V61" s="135"/>
    </row>
    <row r="62" spans="1:22">
      <c r="A62" s="265"/>
      <c r="B62" s="86" t="str">
        <f>IF(L!$A$1=1,L!B183,IF(L!$A$1=2,L!C183,L!D183))</f>
        <v>2019 Maj</v>
      </c>
      <c r="C62" s="87">
        <f t="shared" si="28"/>
        <v>0</v>
      </c>
      <c r="D62" s="87">
        <f t="shared" si="29"/>
        <v>0</v>
      </c>
      <c r="E62" s="87">
        <f t="shared" si="29"/>
        <v>0</v>
      </c>
      <c r="F62" s="246"/>
      <c r="G62" s="246"/>
      <c r="H62" s="246"/>
      <c r="I62" s="246"/>
      <c r="J62" s="247"/>
      <c r="K62" s="87">
        <f t="shared" si="33"/>
        <v>0</v>
      </c>
      <c r="L62" s="135"/>
      <c r="M62" s="135"/>
      <c r="N62" s="135"/>
      <c r="O62" s="135"/>
      <c r="P62" s="135"/>
      <c r="Q62" s="87">
        <f t="shared" si="32"/>
        <v>0</v>
      </c>
      <c r="R62" s="135"/>
      <c r="S62" s="135"/>
      <c r="T62" s="135"/>
      <c r="U62" s="135"/>
      <c r="V62" s="209"/>
    </row>
    <row r="63" spans="1:22">
      <c r="A63" s="265"/>
      <c r="B63" s="86" t="str">
        <f>IF(L!$A$1=1,L!B184,IF(L!$A$1=2,L!C184,L!D184))</f>
        <v>2019 Qershor</v>
      </c>
      <c r="C63" s="87">
        <f t="shared" si="28"/>
        <v>0</v>
      </c>
      <c r="D63" s="87">
        <f t="shared" si="29"/>
        <v>0</v>
      </c>
      <c r="E63" s="87">
        <f t="shared" si="29"/>
        <v>0</v>
      </c>
      <c r="F63" s="246"/>
      <c r="G63" s="246"/>
      <c r="H63" s="246"/>
      <c r="I63" s="246"/>
      <c r="J63" s="247"/>
      <c r="K63" s="87">
        <f t="shared" si="33"/>
        <v>0</v>
      </c>
      <c r="L63" s="135"/>
      <c r="M63" s="135"/>
      <c r="N63" s="135"/>
      <c r="O63" s="135"/>
      <c r="P63" s="135"/>
      <c r="Q63" s="87">
        <f t="shared" si="32"/>
        <v>0</v>
      </c>
      <c r="R63" s="135"/>
      <c r="S63" s="135"/>
      <c r="T63" s="135"/>
      <c r="U63" s="135"/>
      <c r="V63" s="135"/>
    </row>
    <row r="64" spans="1:22">
      <c r="A64" s="265"/>
      <c r="B64" s="86" t="str">
        <f>IF(L!$A$1=1,L!B185,IF(L!$A$1=2,L!C185,L!D185))</f>
        <v>2019 Korrik</v>
      </c>
      <c r="C64" s="87">
        <f t="shared" si="28"/>
        <v>0</v>
      </c>
      <c r="D64" s="87">
        <f t="shared" si="29"/>
        <v>0</v>
      </c>
      <c r="E64" s="87">
        <f t="shared" si="29"/>
        <v>0</v>
      </c>
      <c r="F64" s="246"/>
      <c r="G64" s="246"/>
      <c r="H64" s="246"/>
      <c r="I64" s="246"/>
      <c r="J64" s="248"/>
      <c r="K64" s="87">
        <f t="shared" si="33"/>
        <v>0</v>
      </c>
      <c r="L64" s="124"/>
      <c r="M64" s="124"/>
      <c r="N64" s="124"/>
      <c r="O64" s="124"/>
      <c r="P64" s="235"/>
      <c r="Q64" s="87">
        <f>SUM(R64:V64)</f>
        <v>0</v>
      </c>
      <c r="R64" s="87"/>
      <c r="S64" s="87"/>
      <c r="T64" s="87"/>
      <c r="U64" s="87"/>
      <c r="V64" s="139"/>
    </row>
    <row r="65" spans="1:22">
      <c r="A65" s="265"/>
      <c r="B65" s="86" t="str">
        <f>IF(L!$A$1=1,L!B186,IF(L!$A$1=2,L!C186,L!D186))</f>
        <v>2019 Gusht</v>
      </c>
      <c r="C65" s="87">
        <f t="shared" si="28"/>
        <v>0</v>
      </c>
      <c r="D65" s="87">
        <f t="shared" si="29"/>
        <v>0</v>
      </c>
      <c r="E65" s="87">
        <f t="shared" si="29"/>
        <v>0</v>
      </c>
      <c r="F65" s="124"/>
      <c r="G65" s="124"/>
      <c r="H65" s="124"/>
      <c r="I65" s="124"/>
      <c r="J65" s="247"/>
      <c r="K65" s="87">
        <f t="shared" ref="K65:K69" si="34">SUM(L65:P65)</f>
        <v>0</v>
      </c>
      <c r="L65" s="126"/>
      <c r="M65" s="126"/>
      <c r="N65" s="126"/>
      <c r="O65" s="126"/>
      <c r="P65" s="126"/>
      <c r="Q65" s="87">
        <f>SUM(R65:V65)</f>
        <v>0</v>
      </c>
      <c r="R65" s="87"/>
      <c r="S65" s="87"/>
      <c r="T65" s="87"/>
      <c r="U65" s="87"/>
      <c r="V65" s="87"/>
    </row>
    <row r="66" spans="1:22">
      <c r="A66" s="265"/>
      <c r="B66" s="86" t="str">
        <f>IF(L!$A$1=1,L!B187,IF(L!$A$1=2,L!C187,L!D187))</f>
        <v>2019 Shtator</v>
      </c>
      <c r="C66" s="87">
        <f t="shared" si="28"/>
        <v>0</v>
      </c>
      <c r="D66" s="87">
        <f t="shared" si="29"/>
        <v>0</v>
      </c>
      <c r="E66" s="87">
        <f t="shared" si="29"/>
        <v>0</v>
      </c>
      <c r="F66" s="124"/>
      <c r="G66" s="124"/>
      <c r="H66" s="124"/>
      <c r="I66" s="124"/>
      <c r="J66" s="124"/>
      <c r="K66" s="87">
        <f t="shared" si="34"/>
        <v>0</v>
      </c>
      <c r="L66" s="124"/>
      <c r="M66" s="124"/>
      <c r="N66" s="124"/>
      <c r="O66" s="124"/>
      <c r="P66" s="124"/>
      <c r="Q66" s="87">
        <f t="shared" ref="Q66:Q69" si="35">SUM(R66:V66)</f>
        <v>0</v>
      </c>
      <c r="R66" s="87"/>
      <c r="S66" s="87"/>
      <c r="T66" s="87"/>
      <c r="U66" s="87"/>
      <c r="V66" s="87"/>
    </row>
    <row r="67" spans="1:22">
      <c r="A67" s="266"/>
      <c r="B67" s="86" t="str">
        <f>IF(L!$A$1=1,L!B188,IF(L!$A$1=2,L!C188,L!D188))</f>
        <v>2019 Tetor</v>
      </c>
      <c r="C67" s="87">
        <f t="shared" si="28"/>
        <v>0</v>
      </c>
      <c r="D67" s="87">
        <f t="shared" si="29"/>
        <v>0</v>
      </c>
      <c r="E67" s="87">
        <f t="shared" si="29"/>
        <v>0</v>
      </c>
      <c r="F67" s="124"/>
      <c r="G67" s="124"/>
      <c r="H67" s="124"/>
      <c r="I67" s="124"/>
      <c r="J67" s="124"/>
      <c r="K67" s="87">
        <f t="shared" si="34"/>
        <v>0</v>
      </c>
      <c r="L67" s="87"/>
      <c r="M67" s="239"/>
      <c r="N67" s="240"/>
      <c r="O67" s="239"/>
      <c r="P67" s="239"/>
      <c r="Q67" s="87">
        <f t="shared" si="35"/>
        <v>0</v>
      </c>
      <c r="R67" s="87"/>
      <c r="S67" s="87"/>
      <c r="T67" s="87"/>
      <c r="U67" s="87"/>
      <c r="V67" s="87"/>
    </row>
    <row r="68" spans="1:22">
      <c r="A68" s="266"/>
      <c r="B68" s="86" t="str">
        <f>IF(L!$A$1=1,L!B189,IF(L!$A$1=2,L!C189,L!D189))</f>
        <v xml:space="preserve">2019 Nëntor </v>
      </c>
      <c r="C68" s="87">
        <f t="shared" si="28"/>
        <v>0</v>
      </c>
      <c r="D68" s="87">
        <f t="shared" si="29"/>
        <v>0</v>
      </c>
      <c r="E68" s="87">
        <f t="shared" si="29"/>
        <v>0</v>
      </c>
      <c r="F68" s="249"/>
      <c r="G68" s="250"/>
      <c r="H68" s="124"/>
      <c r="I68" s="124"/>
      <c r="J68" s="124"/>
      <c r="K68" s="87">
        <f t="shared" si="34"/>
        <v>0</v>
      </c>
      <c r="L68" s="87"/>
      <c r="M68" s="87"/>
      <c r="N68" s="87"/>
      <c r="O68" s="87"/>
      <c r="P68" s="87"/>
      <c r="Q68" s="87">
        <f t="shared" si="35"/>
        <v>0</v>
      </c>
      <c r="R68" s="87"/>
      <c r="S68" s="87"/>
      <c r="T68" s="87"/>
      <c r="U68" s="87"/>
      <c r="V68" s="87"/>
    </row>
    <row r="69" spans="1:22">
      <c r="A69" s="266"/>
      <c r="B69" s="86" t="str">
        <f>IF(L!$A$1=1,L!B190,IF(L!$A$1=2,L!C190,L!D190))</f>
        <v>2019 Dhjetor</v>
      </c>
      <c r="C69" s="87">
        <f t="shared" si="28"/>
        <v>0</v>
      </c>
      <c r="D69" s="87">
        <f t="shared" si="29"/>
        <v>0</v>
      </c>
      <c r="E69" s="87">
        <f t="shared" si="29"/>
        <v>0</v>
      </c>
      <c r="F69" s="144"/>
      <c r="G69" s="87"/>
      <c r="H69" s="87"/>
      <c r="I69" s="87"/>
      <c r="J69" s="87"/>
      <c r="K69" s="87">
        <f t="shared" si="34"/>
        <v>0</v>
      </c>
      <c r="L69" s="87"/>
      <c r="M69" s="87"/>
      <c r="N69" s="87"/>
      <c r="O69" s="87"/>
      <c r="P69" s="87"/>
      <c r="Q69" s="87">
        <f t="shared" si="35"/>
        <v>0</v>
      </c>
      <c r="R69" s="87"/>
      <c r="S69" s="87"/>
      <c r="T69" s="87"/>
      <c r="U69" s="87"/>
      <c r="V69" s="87"/>
    </row>
    <row r="70" spans="1:22">
      <c r="A70" s="267"/>
      <c r="B70" s="93" t="str">
        <f>IF(L!$A$1=1,L!B191,IF(L!$A$1=2,L!C191,L!D191))</f>
        <v>Gjithsej 2019</v>
      </c>
      <c r="C70" s="94">
        <f t="shared" si="28"/>
        <v>2683970.3999999994</v>
      </c>
      <c r="D70" s="95">
        <f>SUM(D58:D69)</f>
        <v>2683970.3999999994</v>
      </c>
      <c r="E70" s="95">
        <f t="shared" ref="E70:V70" si="36">SUM(E58:E69)</f>
        <v>554502.23</v>
      </c>
      <c r="F70" s="95">
        <f t="shared" si="36"/>
        <v>313827.32</v>
      </c>
      <c r="G70" s="95">
        <f t="shared" si="36"/>
        <v>163888.36000000002</v>
      </c>
      <c r="H70" s="95">
        <f t="shared" si="36"/>
        <v>76786.55</v>
      </c>
      <c r="I70" s="95">
        <f t="shared" si="36"/>
        <v>0</v>
      </c>
      <c r="J70" s="95">
        <f t="shared" si="36"/>
        <v>0</v>
      </c>
      <c r="K70" s="95">
        <f t="shared" si="36"/>
        <v>1622852.8699999999</v>
      </c>
      <c r="L70" s="95">
        <f t="shared" si="36"/>
        <v>1522009.2599999998</v>
      </c>
      <c r="M70" s="95">
        <f t="shared" si="36"/>
        <v>78628.209999999992</v>
      </c>
      <c r="N70" s="95">
        <f t="shared" si="36"/>
        <v>22215.4</v>
      </c>
      <c r="O70" s="95">
        <f t="shared" si="36"/>
        <v>0</v>
      </c>
      <c r="P70" s="95">
        <f t="shared" si="36"/>
        <v>0</v>
      </c>
      <c r="Q70" s="95">
        <f t="shared" si="36"/>
        <v>506615.29999999993</v>
      </c>
      <c r="R70" s="95">
        <f t="shared" si="36"/>
        <v>430284.25</v>
      </c>
      <c r="S70" s="95">
        <f t="shared" si="36"/>
        <v>60425.78</v>
      </c>
      <c r="T70" s="95">
        <f t="shared" si="36"/>
        <v>15905.27</v>
      </c>
      <c r="U70" s="95">
        <f t="shared" si="36"/>
        <v>0</v>
      </c>
      <c r="V70" s="95">
        <f t="shared" si="36"/>
        <v>0</v>
      </c>
    </row>
    <row r="73" spans="1:22">
      <c r="C73" s="97"/>
      <c r="D73" s="255"/>
      <c r="E73" s="254"/>
      <c r="F73" s="254"/>
      <c r="G73" s="254"/>
    </row>
    <row r="74" spans="1:22">
      <c r="E74" s="254"/>
      <c r="F74" s="256"/>
    </row>
    <row r="75" spans="1:22">
      <c r="E75" s="254"/>
      <c r="H75" s="255"/>
    </row>
    <row r="76" spans="1:22">
      <c r="C76" s="97"/>
    </row>
    <row r="84" spans="6:6">
      <c r="F84" s="97"/>
    </row>
    <row r="85" spans="6:6">
      <c r="F85" s="234"/>
    </row>
  </sheetData>
  <mergeCells count="8">
    <mergeCell ref="A58:A70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tabSelected="1" view="pageBreakPreview" zoomScale="70" zoomScaleNormal="80" zoomScaleSheetLayoutView="70" workbookViewId="0">
      <pane xSplit="2" ySplit="3" topLeftCell="C26" activePane="bottomRight" state="frozen"/>
      <selection pane="topRight" activeCell="C1" sqref="C1"/>
      <selection pane="bottomLeft" activeCell="A9" sqref="A9"/>
      <selection pane="bottomRight" activeCell="I78" sqref="I78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25.140625" style="1" customWidth="1"/>
    <col min="4" max="4" width="15.42578125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18.5703125" style="1" customWidth="1"/>
    <col min="14" max="14" width="17.140625" style="1" customWidth="1"/>
    <col min="15" max="16384" width="9.140625" style="1"/>
  </cols>
  <sheetData>
    <row r="1" spans="1:12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>
      <c r="A4" s="274">
        <v>2015</v>
      </c>
      <c r="B4" s="8" t="str">
        <f>IF(L!$A$1=1,L!B127,IF(L!$A$1=2,L!C127,L!D127))</f>
        <v>2015 Janar</v>
      </c>
      <c r="C4" s="170">
        <f>SUM(D4:L4)</f>
        <v>193909.3</v>
      </c>
      <c r="D4" s="146">
        <v>80138.490000000005</v>
      </c>
      <c r="E4" s="146">
        <v>3026.65</v>
      </c>
      <c r="F4" s="171">
        <v>5530</v>
      </c>
      <c r="G4" s="147">
        <f>9400.5-350</f>
        <v>9050.5</v>
      </c>
      <c r="H4" s="148">
        <v>20240</v>
      </c>
      <c r="I4" s="148">
        <v>8887.5</v>
      </c>
      <c r="J4" s="148">
        <v>7551</v>
      </c>
      <c r="K4" s="172">
        <v>32478</v>
      </c>
      <c r="L4" s="149">
        <f>193909.3-D4-E4-F4-G4-H4-I4-J4-K4</f>
        <v>27007.159999999989</v>
      </c>
    </row>
    <row r="5" spans="1:12">
      <c r="A5" s="275"/>
      <c r="B5" s="5" t="str">
        <f>IF(L!$A$1=1,L!B128,IF(L!$A$1=2,L!C128,L!D128))</f>
        <v>2015 Shkurt</v>
      </c>
      <c r="C5" s="173">
        <f t="shared" ref="C5:C42" si="0">SUM(D5:L5)</f>
        <v>152962.70000000001</v>
      </c>
      <c r="D5" s="150">
        <v>64151.74</v>
      </c>
      <c r="E5" s="151">
        <v>769</v>
      </c>
      <c r="F5" s="174">
        <v>9331.44</v>
      </c>
      <c r="G5" s="147">
        <f>5554+1108.5+241+2453+549.5+2819</f>
        <v>12725</v>
      </c>
      <c r="H5" s="148">
        <v>11735</v>
      </c>
      <c r="I5" s="152">
        <v>9476.5</v>
      </c>
      <c r="J5" s="153">
        <v>11238.9</v>
      </c>
      <c r="K5" s="175">
        <v>7510</v>
      </c>
      <c r="L5" s="149">
        <f>152962.7-D5-E5-F5-G5-H5-I5-J5-K5</f>
        <v>26025.120000000017</v>
      </c>
    </row>
    <row r="6" spans="1:12">
      <c r="A6" s="275"/>
      <c r="B6" s="5" t="str">
        <f>IF(L!$A$1=1,L!B129,IF(L!$A$1=2,L!C129,L!D129))</f>
        <v xml:space="preserve">2015 Mars </v>
      </c>
      <c r="C6" s="173">
        <f t="shared" si="0"/>
        <v>240882.19</v>
      </c>
      <c r="D6" s="176">
        <v>110834.76</v>
      </c>
      <c r="E6" s="176">
        <v>28377.69</v>
      </c>
      <c r="F6" s="174">
        <v>1041.48</v>
      </c>
      <c r="G6" s="177">
        <f>15391.5-610</f>
        <v>14781.5</v>
      </c>
      <c r="H6" s="154">
        <v>14265</v>
      </c>
      <c r="I6" s="152">
        <v>12994</v>
      </c>
      <c r="J6" s="178">
        <v>12901.9</v>
      </c>
      <c r="K6" s="175">
        <v>8540</v>
      </c>
      <c r="L6" s="149">
        <f>240882.19-D6-E6-F6-G6-H6-I6-J6-K6</f>
        <v>37145.860000000008</v>
      </c>
    </row>
    <row r="7" spans="1:12">
      <c r="A7" s="275"/>
      <c r="B7" s="5" t="str">
        <f>IF(L!$A$1=1,L!B130,IF(L!$A$1=2,L!C130,L!D130))</f>
        <v>2015 Prill</v>
      </c>
      <c r="C7" s="173">
        <f t="shared" si="0"/>
        <v>266054.55</v>
      </c>
      <c r="D7" s="176">
        <v>117169.74</v>
      </c>
      <c r="E7" s="155">
        <f>32552.4+2106.6</f>
        <v>34659</v>
      </c>
      <c r="F7" s="174">
        <v>15927.5</v>
      </c>
      <c r="G7" s="147">
        <f>6949+1576+469+3165+626+165.5</f>
        <v>12950.5</v>
      </c>
      <c r="H7" s="179">
        <v>12365</v>
      </c>
      <c r="I7" s="152">
        <f>17330+1260+12</f>
        <v>18602</v>
      </c>
      <c r="J7" s="153">
        <v>12233.8</v>
      </c>
      <c r="K7" s="175">
        <v>7280</v>
      </c>
      <c r="L7" s="149">
        <f>266054.55-D7-E7-F7-G7-H7-I7-J7-K7</f>
        <v>34867.009999999995</v>
      </c>
    </row>
    <row r="8" spans="1:12">
      <c r="A8" s="275"/>
      <c r="B8" s="5" t="str">
        <f>IF(L!$A$1=1,L!B131,IF(L!$A$1=2,L!C131,L!D131))</f>
        <v>2015 Maj</v>
      </c>
      <c r="C8" s="173">
        <f t="shared" si="0"/>
        <v>251769.24</v>
      </c>
      <c r="D8" s="155">
        <v>92670.399999999994</v>
      </c>
      <c r="E8" s="155">
        <f>49711.39-2106.6</f>
        <v>47604.79</v>
      </c>
      <c r="F8" s="174">
        <v>20304.599999999999</v>
      </c>
      <c r="G8" s="156">
        <f>11980.5-460</f>
        <v>11520.5</v>
      </c>
      <c r="H8" s="157">
        <v>11134.44</v>
      </c>
      <c r="I8" s="157">
        <v>16579.5</v>
      </c>
      <c r="J8" s="153">
        <v>11155.3</v>
      </c>
      <c r="K8" s="175">
        <v>7800</v>
      </c>
      <c r="L8" s="149">
        <f>251769.24-D8-E8-F8-G8-H8-I8-J8-K8</f>
        <v>32999.709999999977</v>
      </c>
    </row>
    <row r="9" spans="1:12">
      <c r="A9" s="275"/>
      <c r="B9" s="5" t="str">
        <f>IF(L!$A$1=1,L!B132,IF(L!$A$1=2,L!C132,L!D132))</f>
        <v>2015 Qershor</v>
      </c>
      <c r="C9" s="173">
        <f t="shared" si="0"/>
        <v>459041.71</v>
      </c>
      <c r="D9" s="176">
        <v>171916.1</v>
      </c>
      <c r="E9" s="176">
        <f>23233-793</f>
        <v>22440</v>
      </c>
      <c r="F9" s="171">
        <v>2356.3000000000002</v>
      </c>
      <c r="G9" s="177">
        <f>13085.5</f>
        <v>13085.5</v>
      </c>
      <c r="H9" s="158">
        <f>11761+143100</f>
        <v>154861</v>
      </c>
      <c r="I9" s="178">
        <v>15638.5</v>
      </c>
      <c r="J9" s="178">
        <f>7844.7-969.5</f>
        <v>6875.2</v>
      </c>
      <c r="K9" s="175">
        <v>32207</v>
      </c>
      <c r="L9" s="149">
        <f>459041.71-D9-E9-F9-G9-H9-I9-J9-K9</f>
        <v>39662.11</v>
      </c>
    </row>
    <row r="10" spans="1:12">
      <c r="A10" s="275"/>
      <c r="B10" s="5" t="str">
        <f>IF(L!$A$1=1,L!B133,IF(L!$A$1=2,L!C133,L!D133))</f>
        <v>2015 Korrik</v>
      </c>
      <c r="C10" s="173">
        <f t="shared" si="0"/>
        <v>296124.09999999998</v>
      </c>
      <c r="D10" s="176">
        <v>142582.70000000001</v>
      </c>
      <c r="E10" s="176">
        <v>33174.199999999997</v>
      </c>
      <c r="F10" s="174">
        <v>31084</v>
      </c>
      <c r="G10" s="177">
        <f>14017-540</f>
        <v>13477</v>
      </c>
      <c r="H10" s="159">
        <v>16033.5</v>
      </c>
      <c r="I10" s="178">
        <v>18527</v>
      </c>
      <c r="J10" s="178">
        <v>10814</v>
      </c>
      <c r="K10" s="175">
        <v>3705</v>
      </c>
      <c r="L10" s="149">
        <f>296124.1-D10-E10-F10-G10-H10-I10-J10-K10</f>
        <v>26726.699999999968</v>
      </c>
    </row>
    <row r="11" spans="1:12">
      <c r="A11" s="275"/>
      <c r="B11" s="5" t="str">
        <f>IF(L!$A$1=1,L!B134,IF(L!$A$1=2,L!C134,L!D134))</f>
        <v>2015 Gusht</v>
      </c>
      <c r="C11" s="173">
        <f t="shared" si="0"/>
        <v>287806.2</v>
      </c>
      <c r="D11" s="150">
        <v>120816.1</v>
      </c>
      <c r="E11" s="151">
        <f>45500.9+2253</f>
        <v>47753.9</v>
      </c>
      <c r="F11" s="174">
        <v>17926.2</v>
      </c>
      <c r="G11" s="160">
        <f>15848.5-550</f>
        <v>15298.5</v>
      </c>
      <c r="H11" s="180">
        <v>19606</v>
      </c>
      <c r="I11" s="152">
        <v>17843</v>
      </c>
      <c r="J11" s="153">
        <v>10232.5</v>
      </c>
      <c r="K11" s="175">
        <v>5035</v>
      </c>
      <c r="L11" s="149">
        <f>287806.2-D11-E11-F11-G11-H11-I11-J11-K11</f>
        <v>33295.000000000015</v>
      </c>
    </row>
    <row r="12" spans="1:12">
      <c r="A12" s="275"/>
      <c r="B12" s="5" t="str">
        <f>IF(L!$A$1=1,L!B135,IF(L!$A$1=2,L!C135,L!D135))</f>
        <v>2015 Shtator</v>
      </c>
      <c r="C12" s="173">
        <f t="shared" si="0"/>
        <v>236324.72</v>
      </c>
      <c r="D12" s="161">
        <v>70778.06</v>
      </c>
      <c r="E12" s="162">
        <v>17526</v>
      </c>
      <c r="F12" s="174">
        <v>5775</v>
      </c>
      <c r="G12" s="181">
        <f>11236-520</f>
        <v>10716</v>
      </c>
      <c r="H12" s="163">
        <f>13600+54730</f>
        <v>68330</v>
      </c>
      <c r="I12" s="164">
        <v>15945</v>
      </c>
      <c r="J12" s="165">
        <v>10886.9</v>
      </c>
      <c r="K12" s="175">
        <v>8973</v>
      </c>
      <c r="L12" s="149">
        <f>236324.72-D12-E12-F12-G12-H12-I12-J12-K12</f>
        <v>27394.760000000002</v>
      </c>
    </row>
    <row r="13" spans="1:12">
      <c r="A13" s="275"/>
      <c r="B13" s="5" t="str">
        <f>IF(L!$A$1=1,L!B136,IF(L!$A$1=2,L!C136,L!D136))</f>
        <v>2015 Tetor</v>
      </c>
      <c r="C13" s="173">
        <f t="shared" si="0"/>
        <v>276207.13</v>
      </c>
      <c r="D13" s="150">
        <v>66369</v>
      </c>
      <c r="E13" s="151">
        <v>90804</v>
      </c>
      <c r="F13" s="174">
        <v>3087.5</v>
      </c>
      <c r="G13" s="182">
        <f>20807.5-G14</f>
        <v>9541.5</v>
      </c>
      <c r="H13" s="148">
        <v>13821</v>
      </c>
      <c r="I13" s="153">
        <v>14330</v>
      </c>
      <c r="J13" s="153">
        <v>10943.9</v>
      </c>
      <c r="K13" s="175">
        <v>9685</v>
      </c>
      <c r="L13" s="149">
        <f>276207.13-D13-E13-F13-G13-H13-I13-J13-K13</f>
        <v>57625.23000000001</v>
      </c>
    </row>
    <row r="14" spans="1:12">
      <c r="A14" s="275"/>
      <c r="B14" s="5" t="str">
        <f>IF(L!$A$1=1,L!B137,IF(L!$A$1=2,L!C137,L!D137))</f>
        <v xml:space="preserve">2015 Nëntor </v>
      </c>
      <c r="C14" s="173">
        <f t="shared" si="0"/>
        <v>232561.58</v>
      </c>
      <c r="D14" s="150">
        <v>81432.149999999994</v>
      </c>
      <c r="E14" s="151">
        <v>49209</v>
      </c>
      <c r="F14" s="174">
        <v>7861</v>
      </c>
      <c r="G14" s="160">
        <f>11785.8-365-154.8</f>
        <v>11266</v>
      </c>
      <c r="H14" s="183">
        <v>11190</v>
      </c>
      <c r="I14" s="152">
        <v>12555.5</v>
      </c>
      <c r="J14" s="153">
        <v>10162.9</v>
      </c>
      <c r="K14" s="175">
        <v>9115</v>
      </c>
      <c r="L14" s="149">
        <f>232561.58-D14-E14-F14-G14-H14-I14-J14-K14</f>
        <v>39770.029999999992</v>
      </c>
    </row>
    <row r="15" spans="1:12">
      <c r="A15" s="275"/>
      <c r="B15" s="5" t="str">
        <f>IF(L!$A$1=1,L!B138,IF(L!$A$1=2,L!C138,L!D138))</f>
        <v>2015 Dhjetor</v>
      </c>
      <c r="C15" s="173">
        <f t="shared" si="0"/>
        <v>443875.31000000006</v>
      </c>
      <c r="D15" s="150">
        <v>255517.62</v>
      </c>
      <c r="E15" s="151">
        <v>19390</v>
      </c>
      <c r="F15" s="174">
        <v>14453</v>
      </c>
      <c r="G15" s="160">
        <f>17365.5+6+36-2410</f>
        <v>14997.5</v>
      </c>
      <c r="H15" s="148">
        <f>6373+61857.52</f>
        <v>68230.51999999999</v>
      </c>
      <c r="I15" s="152">
        <v>15429</v>
      </c>
      <c r="J15" s="153">
        <v>15029.7</v>
      </c>
      <c r="K15" s="175">
        <v>11840</v>
      </c>
      <c r="L15" s="149">
        <f>443875.31-D15-E15-F15-G15-H15-I15-J15-K15</f>
        <v>28987.970000000016</v>
      </c>
    </row>
    <row r="16" spans="1:12">
      <c r="A16" s="275"/>
      <c r="B16" s="115" t="str">
        <f>IF(L!$A$1=1,L!B139,IF(L!$A$1=2,L!C139,L!D139))</f>
        <v>Gjithsej 2015</v>
      </c>
      <c r="C16" s="184">
        <f t="shared" si="0"/>
        <v>3337518.7299999995</v>
      </c>
      <c r="D16" s="185">
        <f>SUM(D4:D15)</f>
        <v>1374376.8599999999</v>
      </c>
      <c r="E16" s="185">
        <f>SUM(E4:E15)</f>
        <v>394734.23</v>
      </c>
      <c r="F16" s="185">
        <f t="shared" ref="F16:H16" si="1">SUM(F4:F15)</f>
        <v>134678.02000000002</v>
      </c>
      <c r="G16" s="185">
        <f t="shared" si="1"/>
        <v>149410</v>
      </c>
      <c r="H16" s="185">
        <f t="shared" si="1"/>
        <v>421811.45999999996</v>
      </c>
      <c r="I16" s="185">
        <f>SUM(I4:I15)</f>
        <v>176807.5</v>
      </c>
      <c r="J16" s="185">
        <f>SUM(J4:J15)</f>
        <v>130025.99999999999</v>
      </c>
      <c r="K16" s="185">
        <f>SUM(K4:K15)</f>
        <v>144168</v>
      </c>
      <c r="L16" s="186">
        <f>SUM(L4:L15)</f>
        <v>411506.65999999992</v>
      </c>
    </row>
    <row r="17" spans="1:13">
      <c r="A17" s="273">
        <v>2016</v>
      </c>
      <c r="B17" s="5" t="str">
        <f>IF(L!$A$1=1,L!B140,IF(L!$A$1=2,L!C140,L!D140))</f>
        <v>2016 Janar</v>
      </c>
      <c r="C17" s="187">
        <f t="shared" si="0"/>
        <v>174064.77000000002</v>
      </c>
      <c r="D17" s="188">
        <v>87609.11</v>
      </c>
      <c r="E17" s="188">
        <v>6478.6</v>
      </c>
      <c r="F17" s="189">
        <v>386</v>
      </c>
      <c r="G17" s="188">
        <f>7191-G18-15</f>
        <v>4379.5</v>
      </c>
      <c r="H17" s="166">
        <v>8745</v>
      </c>
      <c r="I17" s="188">
        <v>6484</v>
      </c>
      <c r="J17" s="188">
        <v>4925.5</v>
      </c>
      <c r="K17" s="187">
        <v>27466</v>
      </c>
      <c r="L17" s="190">
        <f>174064.77-D17-E17-F17-G17-H17-I17-J17-K17</f>
        <v>27591.059999999983</v>
      </c>
    </row>
    <row r="18" spans="1:13">
      <c r="A18" s="273"/>
      <c r="B18" s="5" t="str">
        <f>IF(L!$A$1=1,L!B141,IF(L!$A$1=2,L!C141,L!D141))</f>
        <v>2016 Shkurt</v>
      </c>
      <c r="C18" s="187">
        <f t="shared" si="0"/>
        <v>202319.18</v>
      </c>
      <c r="D18" s="188">
        <f>69508.9-5097.94</f>
        <v>64410.959999999992</v>
      </c>
      <c r="E18" s="188">
        <v>40372</v>
      </c>
      <c r="F18" s="191">
        <v>1300</v>
      </c>
      <c r="G18" s="188">
        <f>12678-G19-840</f>
        <v>2796.5</v>
      </c>
      <c r="H18" s="192">
        <v>9945</v>
      </c>
      <c r="I18" s="188">
        <f>14124.5-60</f>
        <v>14064.5</v>
      </c>
      <c r="J18" s="193">
        <v>13991.4</v>
      </c>
      <c r="K18" s="187">
        <v>8745</v>
      </c>
      <c r="L18" s="188">
        <f>202319.18-D18-E18-F18-G18-H18-I18-J18-K18</f>
        <v>46693.82</v>
      </c>
    </row>
    <row r="19" spans="1:13">
      <c r="A19" s="273"/>
      <c r="B19" s="5" t="str">
        <f>IF(L!$A$1=1,L!B142,IF(L!$A$1=2,L!C142,L!D142))</f>
        <v xml:space="preserve">2016 Mars </v>
      </c>
      <c r="C19" s="187">
        <f t="shared" si="0"/>
        <v>302842.98</v>
      </c>
      <c r="D19" s="188">
        <v>106017.04</v>
      </c>
      <c r="E19" s="188">
        <v>6847</v>
      </c>
      <c r="F19" s="191">
        <v>4320.3999999999996</v>
      </c>
      <c r="G19" s="188">
        <f>100+1116+120+1794.5+4654+272+820.5+111+47.5+6</f>
        <v>9041.5</v>
      </c>
      <c r="H19" s="167">
        <f>11945+72289</f>
        <v>84234</v>
      </c>
      <c r="I19" s="188">
        <f>1200+13288+10</f>
        <v>14498</v>
      </c>
      <c r="J19" s="193">
        <f>14419.3+218.5+11</f>
        <v>14648.8</v>
      </c>
      <c r="K19" s="187">
        <v>8230</v>
      </c>
      <c r="L19" s="188">
        <f>302842.98-E19-F19-G19-H19-I19-J19-K19-D19</f>
        <v>55006.239999999976</v>
      </c>
      <c r="M19" s="14"/>
    </row>
    <row r="20" spans="1:13">
      <c r="A20" s="273"/>
      <c r="B20" s="5" t="str">
        <f>IF(L!$A$1=1,L!B143,IF(L!$A$1=2,L!C143,L!D143))</f>
        <v>2016 Prill</v>
      </c>
      <c r="C20" s="187">
        <f t="shared" si="0"/>
        <v>272637.68</v>
      </c>
      <c r="D20" s="188">
        <v>113030.9</v>
      </c>
      <c r="E20" s="188">
        <v>42627</v>
      </c>
      <c r="F20" s="191">
        <v>744</v>
      </c>
      <c r="G20" s="188">
        <f>100+1116+120+1794.5+4654+272+820.5+111+47.5+6</f>
        <v>9041.5</v>
      </c>
      <c r="H20" s="188">
        <v>12150</v>
      </c>
      <c r="I20" s="188">
        <v>16697.5</v>
      </c>
      <c r="J20" s="193">
        <v>11247.4</v>
      </c>
      <c r="K20" s="187">
        <v>10166</v>
      </c>
      <c r="L20" s="188">
        <f>272637.68-D20-E20-F20-G20-H20-I20-J20-K20</f>
        <v>56933.380000000005</v>
      </c>
      <c r="M20" s="14"/>
    </row>
    <row r="21" spans="1:13">
      <c r="A21" s="273"/>
      <c r="B21" s="5" t="str">
        <f>IF(L!$A$1=1,L!B144,IF(L!$A$1=2,L!C144,L!D144))</f>
        <v>2016 Maj</v>
      </c>
      <c r="C21" s="187">
        <f t="shared" si="0"/>
        <v>237350.8</v>
      </c>
      <c r="D21" s="188">
        <v>113885.35</v>
      </c>
      <c r="E21" s="188">
        <v>9774</v>
      </c>
      <c r="F21" s="191">
        <v>12915.6</v>
      </c>
      <c r="G21" s="188">
        <f>11999</f>
        <v>11999</v>
      </c>
      <c r="H21" s="188">
        <v>12365</v>
      </c>
      <c r="I21" s="188">
        <v>16284</v>
      </c>
      <c r="J21" s="193">
        <v>10924.1</v>
      </c>
      <c r="K21" s="187">
        <v>15067</v>
      </c>
      <c r="L21" s="188">
        <f>237350.8-D21-E21-F21-G21-H21-I21-J21-K21</f>
        <v>34136.749999999978</v>
      </c>
      <c r="M21" s="14"/>
    </row>
    <row r="22" spans="1:13">
      <c r="A22" s="273"/>
      <c r="B22" s="5" t="str">
        <f>IF(L!$A$1=1,L!B145,IF(L!$A$1=2,L!C145,L!D145))</f>
        <v>2016 Qershor</v>
      </c>
      <c r="C22" s="187">
        <f t="shared" si="0"/>
        <v>461492.53</v>
      </c>
      <c r="D22" s="188">
        <v>261236.57</v>
      </c>
      <c r="E22" s="188">
        <v>17420</v>
      </c>
      <c r="F22" s="191">
        <v>2517.88</v>
      </c>
      <c r="G22" s="188">
        <f>13128-520</f>
        <v>12608</v>
      </c>
      <c r="H22" s="188">
        <f>9590+63975</f>
        <v>73565</v>
      </c>
      <c r="I22" s="188">
        <v>18140</v>
      </c>
      <c r="J22" s="193">
        <v>8867.2000000000007</v>
      </c>
      <c r="K22" s="194">
        <v>20372</v>
      </c>
      <c r="L22" s="188">
        <f>461492.53-D22-E22-F22-G22-H22-I22-J22-K22</f>
        <v>46765.880000000019</v>
      </c>
      <c r="M22" s="14"/>
    </row>
    <row r="23" spans="1:13">
      <c r="A23" s="273"/>
      <c r="B23" s="5" t="str">
        <f>IF(L!$A$1=1,L!B146,IF(L!$A$1=2,L!C146,L!D146))</f>
        <v>2016 Korrik</v>
      </c>
      <c r="C23" s="187">
        <f t="shared" si="0"/>
        <v>266190.81</v>
      </c>
      <c r="D23" s="188">
        <v>134806.46</v>
      </c>
      <c r="E23" s="188">
        <v>24616.799999999999</v>
      </c>
      <c r="F23" s="191">
        <v>10833.4</v>
      </c>
      <c r="G23" s="188">
        <f>18812-485</f>
        <v>18327</v>
      </c>
      <c r="H23" s="188">
        <v>15911</v>
      </c>
      <c r="I23" s="188">
        <v>18846.5</v>
      </c>
      <c r="J23" s="193">
        <v>10282.700000000001</v>
      </c>
      <c r="K23" s="187">
        <v>2389</v>
      </c>
      <c r="L23" s="188">
        <f>266190.81-D23-E23-F23-G23-H23-I23-J23-K23</f>
        <v>30177.950000000008</v>
      </c>
      <c r="M23" s="14"/>
    </row>
    <row r="24" spans="1:13">
      <c r="A24" s="273"/>
      <c r="B24" s="5" t="str">
        <f>IF(L!$A$1=1,L!B147,IF(L!$A$1=2,L!C147,L!D147))</f>
        <v>2016 Gusht</v>
      </c>
      <c r="C24" s="187">
        <f t="shared" si="0"/>
        <v>418553.47</v>
      </c>
      <c r="D24" s="188">
        <v>267400.02</v>
      </c>
      <c r="E24" s="188">
        <v>25951.8</v>
      </c>
      <c r="F24" s="191">
        <v>8774.4</v>
      </c>
      <c r="G24" s="188">
        <f>20518.5-590</f>
        <v>19928.5</v>
      </c>
      <c r="H24" s="168">
        <v>18707</v>
      </c>
      <c r="I24" s="188">
        <v>20964.5</v>
      </c>
      <c r="J24" s="193">
        <v>10606.2</v>
      </c>
      <c r="K24" s="187">
        <v>3025</v>
      </c>
      <c r="L24" s="188">
        <f>418553.47-D24-E24-F24-G24-H24-I24-J24-K24</f>
        <v>43196.049999999959</v>
      </c>
      <c r="M24" s="14"/>
    </row>
    <row r="25" spans="1:13">
      <c r="A25" s="273"/>
      <c r="B25" s="5" t="str">
        <f>IF(L!$A$1=1,L!B148,IF(L!$A$1=2,L!C148,L!D148))</f>
        <v>2016 Shtator</v>
      </c>
      <c r="C25" s="187">
        <f t="shared" si="0"/>
        <v>388113.07</v>
      </c>
      <c r="D25" s="188">
        <v>129402.91</v>
      </c>
      <c r="E25" s="188">
        <v>66896.600000000006</v>
      </c>
      <c r="F25" s="191">
        <v>15452</v>
      </c>
      <c r="G25" s="188">
        <f>12558.5-375</f>
        <v>12183.5</v>
      </c>
      <c r="H25" s="188">
        <f>8642.5+73331.5</f>
        <v>81974</v>
      </c>
      <c r="I25" s="188">
        <v>16913</v>
      </c>
      <c r="J25" s="193">
        <v>10288.700000000001</v>
      </c>
      <c r="K25" s="187">
        <v>7742</v>
      </c>
      <c r="L25" s="188">
        <f>388113.07-D25-E25-F25-G25-H25-I25-J25-K25</f>
        <v>47260.36</v>
      </c>
      <c r="M25" s="14"/>
    </row>
    <row r="26" spans="1:13">
      <c r="A26" s="273"/>
      <c r="B26" s="5" t="str">
        <f>IF(L!$A$1=1,L!B149,IF(L!$A$1=2,L!C149,L!D149))</f>
        <v>2016 Tetor</v>
      </c>
      <c r="C26" s="187">
        <f t="shared" si="0"/>
        <v>163368.18</v>
      </c>
      <c r="D26" s="188">
        <v>56748.14</v>
      </c>
      <c r="E26" s="188">
        <v>17641.5</v>
      </c>
      <c r="F26" s="191">
        <v>1824</v>
      </c>
      <c r="G26" s="188">
        <f>14527-420</f>
        <v>14107</v>
      </c>
      <c r="H26" s="188">
        <v>13573.5</v>
      </c>
      <c r="I26" s="188">
        <v>17255.5</v>
      </c>
      <c r="J26" s="193">
        <v>10546.4</v>
      </c>
      <c r="K26" s="194">
        <v>6863</v>
      </c>
      <c r="L26" s="188">
        <f>163368.18-D26-E26-F26-G26-H26-I26-J26-K26</f>
        <v>24809.139999999992</v>
      </c>
      <c r="M26" s="14"/>
    </row>
    <row r="27" spans="1:13">
      <c r="A27" s="273"/>
      <c r="B27" s="5" t="str">
        <f>IF(L!$A$1=1,L!B150,IF(L!$A$1=2,L!C150,L!D150))</f>
        <v xml:space="preserve">2016 Nëntor </v>
      </c>
      <c r="C27" s="187">
        <f t="shared" si="0"/>
        <v>195884.80999999997</v>
      </c>
      <c r="D27" s="188">
        <v>57141.39</v>
      </c>
      <c r="E27" s="188">
        <v>16179.27</v>
      </c>
      <c r="F27" s="191">
        <v>1539</v>
      </c>
      <c r="G27" s="188">
        <f>13588.5-375</f>
        <v>13213.5</v>
      </c>
      <c r="H27" s="188">
        <v>16279.5</v>
      </c>
      <c r="I27" s="188">
        <v>13578</v>
      </c>
      <c r="J27" s="193">
        <v>13073.2</v>
      </c>
      <c r="K27" s="194">
        <v>7776</v>
      </c>
      <c r="L27" s="188">
        <f>195884.81-D27-E27-F27-G27-H27-I27-J27-K27</f>
        <v>57104.949999999983</v>
      </c>
      <c r="M27" s="14"/>
    </row>
    <row r="28" spans="1:13">
      <c r="A28" s="273"/>
      <c r="B28" s="5" t="str">
        <f>IF(L!$A$1=1,L!B151,IF(L!$A$1=2,L!C151,L!D151))</f>
        <v>2016 Dhjetor</v>
      </c>
      <c r="C28" s="187">
        <f t="shared" si="0"/>
        <v>388090.77</v>
      </c>
      <c r="D28" s="188">
        <v>170822.38</v>
      </c>
      <c r="E28" s="188">
        <v>11524</v>
      </c>
      <c r="F28" s="191">
        <v>2233.6800000000003</v>
      </c>
      <c r="G28" s="188">
        <f>21508.5-400-30+51</f>
        <v>21129.5</v>
      </c>
      <c r="H28" s="188">
        <f>12255+94352.5</f>
        <v>106607.5</v>
      </c>
      <c r="I28" s="188">
        <v>14728</v>
      </c>
      <c r="J28" s="193">
        <v>15696.1</v>
      </c>
      <c r="K28" s="194">
        <v>10203</v>
      </c>
      <c r="L28" s="188">
        <f>388090.77-D28-E28-F28-G28-H28-I28-J28-K28</f>
        <v>35146.610000000022</v>
      </c>
      <c r="M28" s="14"/>
    </row>
    <row r="29" spans="1:13">
      <c r="A29" s="273"/>
      <c r="B29" s="6" t="str">
        <f>IF(L!$A$1=1,L!B152,IF(L!$A$1=2,L!C152,L!D152))</f>
        <v>Gjithsej 2016</v>
      </c>
      <c r="C29" s="195">
        <f t="shared" si="0"/>
        <v>3470909.05</v>
      </c>
      <c r="D29" s="196">
        <f t="shared" ref="D29:L29" si="2">SUM(D17:D28)</f>
        <v>1562511.2299999995</v>
      </c>
      <c r="E29" s="196">
        <f t="shared" si="2"/>
        <v>286328.57</v>
      </c>
      <c r="F29" s="196">
        <f t="shared" si="2"/>
        <v>62840.36</v>
      </c>
      <c r="G29" s="196">
        <f t="shared" si="2"/>
        <v>148755</v>
      </c>
      <c r="H29" s="196">
        <f t="shared" si="2"/>
        <v>454056.5</v>
      </c>
      <c r="I29" s="196">
        <f t="shared" si="2"/>
        <v>188453.5</v>
      </c>
      <c r="J29" s="196">
        <f t="shared" si="2"/>
        <v>135097.69999999998</v>
      </c>
      <c r="K29" s="196">
        <f t="shared" si="2"/>
        <v>128044</v>
      </c>
      <c r="L29" s="196">
        <f t="shared" si="2"/>
        <v>504822.18999999989</v>
      </c>
      <c r="M29" s="14"/>
    </row>
    <row r="30" spans="1:13" s="3" customFormat="1">
      <c r="A30" s="273">
        <v>2017</v>
      </c>
      <c r="B30" s="5" t="str">
        <f>IF(L!$A$1=1,L!B153,IF(L!$A$1=2,L!C153,L!D153))</f>
        <v>2017 Janar</v>
      </c>
      <c r="C30" s="191">
        <f>SUM(D30:L30)</f>
        <v>159765.66</v>
      </c>
      <c r="D30" s="197">
        <v>53694.34</v>
      </c>
      <c r="E30" s="188">
        <v>2659</v>
      </c>
      <c r="F30" s="191">
        <v>24285.4</v>
      </c>
      <c r="G30" s="198">
        <f>7312-160</f>
        <v>7152</v>
      </c>
      <c r="H30" s="199">
        <v>12177.5</v>
      </c>
      <c r="I30" s="198">
        <v>8440</v>
      </c>
      <c r="J30" s="200">
        <v>4200</v>
      </c>
      <c r="K30" s="201">
        <v>28331</v>
      </c>
      <c r="L30" s="191">
        <f>159765.66-D30-E30-F30-G30-I30-J30-K30-H30</f>
        <v>18826.420000000013</v>
      </c>
      <c r="M30" s="9"/>
    </row>
    <row r="31" spans="1:13" s="3" customFormat="1">
      <c r="A31" s="273"/>
      <c r="B31" s="5" t="str">
        <f>IF(L!$A$1=1,L!B154,IF(L!$A$1=2,L!C154,L!D154))</f>
        <v>2017 Shkurt</v>
      </c>
      <c r="C31" s="191">
        <f>SUM(D31:L31)</f>
        <v>182000.99999999997</v>
      </c>
      <c r="D31" s="197">
        <v>82711.62</v>
      </c>
      <c r="E31" s="188">
        <v>7851.8</v>
      </c>
      <c r="F31" s="191">
        <v>1440</v>
      </c>
      <c r="G31" s="198">
        <f>14065.5-415</f>
        <v>13650.5</v>
      </c>
      <c r="H31" s="199">
        <v>18607.5</v>
      </c>
      <c r="I31" s="198">
        <v>11719</v>
      </c>
      <c r="J31" s="202">
        <v>9533.4</v>
      </c>
      <c r="K31" s="201">
        <v>6607</v>
      </c>
      <c r="L31" s="191">
        <f>182001-D31-E31-F31-G31-I31-J31-K31-H31</f>
        <v>29880.18</v>
      </c>
      <c r="M31" s="9"/>
    </row>
    <row r="32" spans="1:13" s="3" customFormat="1">
      <c r="A32" s="273"/>
      <c r="B32" s="5" t="str">
        <f>IF(L!$A$1=1,L!B155,IF(L!$A$1=2,L!C155,L!D155))</f>
        <v xml:space="preserve">2017 Mars </v>
      </c>
      <c r="C32" s="203">
        <f t="shared" si="0"/>
        <v>389436.00000000006</v>
      </c>
      <c r="D32" s="197">
        <v>146023.26999999999</v>
      </c>
      <c r="E32" s="188">
        <v>33564</v>
      </c>
      <c r="F32" s="191">
        <v>4515.5</v>
      </c>
      <c r="G32" s="198">
        <f>19471.5-485</f>
        <v>18986.5</v>
      </c>
      <c r="H32" s="198">
        <v>113386</v>
      </c>
      <c r="I32" s="198">
        <v>17879</v>
      </c>
      <c r="J32" s="202">
        <v>11414.9</v>
      </c>
      <c r="K32" s="169">
        <v>6982</v>
      </c>
      <c r="L32" s="191">
        <f>389436-D32-E32-F32-G32-I32-J32-K32-H32</f>
        <v>36684.830000000016</v>
      </c>
      <c r="M32" s="9"/>
    </row>
    <row r="33" spans="1:16" s="3" customFormat="1">
      <c r="A33" s="273"/>
      <c r="B33" s="5" t="str">
        <f>IF(L!$A$1=1,L!B156,IF(L!$A$1=2,L!C156,L!D156))</f>
        <v>2017 Prill</v>
      </c>
      <c r="C33" s="191">
        <f t="shared" ref="C33:C39" si="3">SUM(D33:L33)</f>
        <v>239884</v>
      </c>
      <c r="D33" s="197">
        <v>88499.83</v>
      </c>
      <c r="E33" s="188">
        <v>48639.56</v>
      </c>
      <c r="F33" s="191">
        <v>7494</v>
      </c>
      <c r="G33" s="198">
        <f>15638.5-330</f>
        <v>15308.5</v>
      </c>
      <c r="H33" s="198">
        <v>20867.5</v>
      </c>
      <c r="I33" s="198">
        <v>14904</v>
      </c>
      <c r="J33" s="202">
        <v>7203.2</v>
      </c>
      <c r="K33" s="169">
        <v>5943</v>
      </c>
      <c r="L33" s="191">
        <f>239884-D33-E33-F33-G33-I33-J33-K33-H33</f>
        <v>31024.409999999989</v>
      </c>
      <c r="M33" s="9"/>
    </row>
    <row r="34" spans="1:16" s="3" customFormat="1">
      <c r="A34" s="273"/>
      <c r="B34" s="5" t="str">
        <f>IF(L!$A$1=1,L!B157,IF(L!$A$1=2,L!C157,L!D157))</f>
        <v>2017 Maj</v>
      </c>
      <c r="C34" s="191">
        <f t="shared" si="3"/>
        <v>268759</v>
      </c>
      <c r="D34" s="197">
        <v>99068.72</v>
      </c>
      <c r="E34" s="188">
        <v>37339.94</v>
      </c>
      <c r="F34" s="191">
        <v>19562</v>
      </c>
      <c r="G34" s="198">
        <f>15223-464</f>
        <v>14759</v>
      </c>
      <c r="H34" s="199">
        <v>24125</v>
      </c>
      <c r="I34" s="198">
        <v>16861.5</v>
      </c>
      <c r="J34" s="202">
        <v>9057.6</v>
      </c>
      <c r="K34" s="201">
        <v>14411</v>
      </c>
      <c r="L34" s="191">
        <f>268759-D34-E34-F34-G34-I34-J34-K34-H34</f>
        <v>33574.239999999991</v>
      </c>
      <c r="M34" s="9"/>
    </row>
    <row r="35" spans="1:16" s="3" customFormat="1">
      <c r="A35" s="273"/>
      <c r="B35" s="5" t="str">
        <f>IF(L!$A$1=1,L!B158,IF(L!$A$1=2,L!C158,L!D158))</f>
        <v>2017 Qershor</v>
      </c>
      <c r="C35" s="191">
        <f t="shared" si="3"/>
        <v>395477.02999999997</v>
      </c>
      <c r="D35" s="197">
        <v>182109.98</v>
      </c>
      <c r="E35" s="188">
        <v>11739.01</v>
      </c>
      <c r="F35" s="191">
        <v>2759</v>
      </c>
      <c r="G35" s="198">
        <f>17116-465</f>
        <v>16651</v>
      </c>
      <c r="H35" s="198">
        <v>104826</v>
      </c>
      <c r="I35" s="198">
        <v>19834</v>
      </c>
      <c r="J35" s="202">
        <v>6953.6</v>
      </c>
      <c r="K35" s="201">
        <v>25098</v>
      </c>
      <c r="L35" s="191">
        <f>395477.03-D35-E35-F35-G35-I35-J35-K35-H35</f>
        <v>25506.440000000002</v>
      </c>
      <c r="M35" s="9"/>
    </row>
    <row r="36" spans="1:16" s="3" customFormat="1">
      <c r="A36" s="273"/>
      <c r="B36" s="5" t="str">
        <f>IF(L!$A$1=1,L!B159,IF(L!$A$1=2,L!C159,L!D159))</f>
        <v>2017 Korrik</v>
      </c>
      <c r="C36" s="191">
        <f t="shared" si="3"/>
        <v>287896.01</v>
      </c>
      <c r="D36" s="197">
        <v>141447.01999999999</v>
      </c>
      <c r="E36" s="188">
        <v>23906.19</v>
      </c>
      <c r="F36" s="191">
        <v>30934</v>
      </c>
      <c r="G36" s="198">
        <f>14247.5</f>
        <v>14247.5</v>
      </c>
      <c r="H36" s="198">
        <v>22240</v>
      </c>
      <c r="I36" s="198">
        <v>19017</v>
      </c>
      <c r="J36" s="202">
        <v>8808.7999999999993</v>
      </c>
      <c r="K36" s="201">
        <v>2104</v>
      </c>
      <c r="L36" s="191">
        <f>287896.01-D36-E36-F36-G36-I36-J36-K36-H36</f>
        <v>25191.500000000015</v>
      </c>
      <c r="M36" s="9"/>
    </row>
    <row r="37" spans="1:16" s="3" customFormat="1">
      <c r="A37" s="273"/>
      <c r="B37" s="5" t="str">
        <f>IF(L!$A$1=1,L!B160,IF(L!$A$1=2,L!C160,L!D160))</f>
        <v>2017 Gusht</v>
      </c>
      <c r="C37" s="191">
        <f t="shared" si="3"/>
        <v>411732.69999999995</v>
      </c>
      <c r="D37" s="197">
        <v>218819.49</v>
      </c>
      <c r="E37" s="188">
        <v>21152.97</v>
      </c>
      <c r="F37" s="191">
        <v>37819.5</v>
      </c>
      <c r="G37" s="198">
        <f>22213.5-756</f>
        <v>21457.5</v>
      </c>
      <c r="H37" s="198">
        <v>42911.5</v>
      </c>
      <c r="I37" s="198">
        <v>21585</v>
      </c>
      <c r="J37" s="202">
        <v>10612</v>
      </c>
      <c r="K37" s="201">
        <v>1612</v>
      </c>
      <c r="L37" s="191">
        <f>411732.7-D37-E37-F37-G37-I37-J37-K37-H37</f>
        <v>35762.74000000002</v>
      </c>
      <c r="M37" s="9"/>
    </row>
    <row r="38" spans="1:16" s="3" customFormat="1">
      <c r="A38" s="273"/>
      <c r="B38" s="5" t="str">
        <f>IF(L!$A$1=1,L!B161,IF(L!$A$1=2,L!C161,L!D161))</f>
        <v>2017 Shtator</v>
      </c>
      <c r="C38" s="191">
        <f t="shared" si="3"/>
        <v>354245</v>
      </c>
      <c r="D38" s="197">
        <v>87232.27</v>
      </c>
      <c r="E38" s="188">
        <v>79186.03</v>
      </c>
      <c r="F38" s="191">
        <v>9086.2000000000007</v>
      </c>
      <c r="G38" s="198">
        <f>17172.5-440</f>
        <v>16732.5</v>
      </c>
      <c r="H38" s="198">
        <v>94296</v>
      </c>
      <c r="I38" s="198">
        <v>14882.5</v>
      </c>
      <c r="J38" s="202">
        <v>8148.5</v>
      </c>
      <c r="K38" s="169">
        <v>9940.39</v>
      </c>
      <c r="L38" s="191">
        <f>276520-D38-E38-F38-G38-I38-J38-K38-H38+77725</f>
        <v>34740.609999999986</v>
      </c>
      <c r="M38" s="9"/>
    </row>
    <row r="39" spans="1:16" s="3" customFormat="1">
      <c r="A39" s="273"/>
      <c r="B39" s="5" t="str">
        <f>IF(L!$A$1=1,L!B162,IF(L!$A$1=2,L!C162,L!D162))</f>
        <v>2017 Tetor</v>
      </c>
      <c r="C39" s="191">
        <f t="shared" si="3"/>
        <v>302637.14999999997</v>
      </c>
      <c r="D39" s="197">
        <v>51185.62</v>
      </c>
      <c r="E39" s="188">
        <v>112360.75</v>
      </c>
      <c r="F39" s="191">
        <v>29807.829999999998</v>
      </c>
      <c r="G39" s="198">
        <f>19326.4-688.5</f>
        <v>18637.900000000001</v>
      </c>
      <c r="H39" s="198">
        <v>18388.5</v>
      </c>
      <c r="I39" s="198">
        <v>19763.5</v>
      </c>
      <c r="J39" s="202">
        <v>9095.2999999999993</v>
      </c>
      <c r="K39" s="201">
        <v>7282</v>
      </c>
      <c r="L39" s="191">
        <f>284248.65-D39-E39-F39-G39-I39-J39-K39</f>
        <v>36115.750000000015</v>
      </c>
      <c r="M39" s="9"/>
    </row>
    <row r="40" spans="1:16" s="3" customFormat="1" ht="15.75" thickBot="1">
      <c r="A40" s="273"/>
      <c r="B40" s="5" t="str">
        <f>IF(L!$A$1=1,L!B163,IF(L!$A$1=2,L!C163,L!D163))</f>
        <v xml:space="preserve">2017 Nëntor </v>
      </c>
      <c r="C40" s="187">
        <f t="shared" si="0"/>
        <v>219482.89</v>
      </c>
      <c r="D40" s="187">
        <v>63037.9</v>
      </c>
      <c r="E40" s="187">
        <v>79818.880000000005</v>
      </c>
      <c r="F40" s="187">
        <f>1499.5+170</f>
        <v>1669.5</v>
      </c>
      <c r="G40" s="187">
        <v>13723.5</v>
      </c>
      <c r="H40" s="187">
        <v>14692.5</v>
      </c>
      <c r="I40" s="187">
        <f>13614+2150.5</f>
        <v>15764.5</v>
      </c>
      <c r="J40" s="187">
        <v>9461.5</v>
      </c>
      <c r="K40" s="187">
        <f>7063+40</f>
        <v>7103</v>
      </c>
      <c r="L40" s="187">
        <v>14211.61</v>
      </c>
    </row>
    <row r="41" spans="1:16" s="3" customFormat="1" ht="15.75" thickBot="1">
      <c r="A41" s="273"/>
      <c r="B41" s="5" t="str">
        <f>IF(L!$A$1=1,L!B164,IF(L!$A$1=2,L!C164,L!D164))</f>
        <v>2017 Dhjetor</v>
      </c>
      <c r="C41" s="187">
        <f t="shared" si="0"/>
        <v>360487.65</v>
      </c>
      <c r="D41" s="222">
        <v>207270.45</v>
      </c>
      <c r="E41" s="223">
        <v>10009.74</v>
      </c>
      <c r="F41" s="187">
        <v>1796</v>
      </c>
      <c r="G41" s="187">
        <v>16445</v>
      </c>
      <c r="H41" s="187">
        <v>47757</v>
      </c>
      <c r="I41" s="187">
        <v>19650</v>
      </c>
      <c r="J41" s="224">
        <v>15211.8</v>
      </c>
      <c r="K41" s="187">
        <v>6794</v>
      </c>
      <c r="L41" s="187">
        <v>35553.660000000003</v>
      </c>
    </row>
    <row r="42" spans="1:16" s="3" customFormat="1">
      <c r="A42" s="273"/>
      <c r="B42" s="6" t="str">
        <f>IF(L!$A$1=1,L!B165,IF(L!$A$1=2,L!C165,L!D165))</f>
        <v>Gjithsej 2017</v>
      </c>
      <c r="C42" s="195">
        <f t="shared" si="0"/>
        <v>3571804.0900000003</v>
      </c>
      <c r="D42" s="196">
        <f>SUM(D30:D41)</f>
        <v>1421100.51</v>
      </c>
      <c r="E42" s="196">
        <f>SUM(E30:E41)</f>
        <v>468227.87</v>
      </c>
      <c r="F42" s="196">
        <f>SUM(F30:F41)</f>
        <v>171168.93</v>
      </c>
      <c r="G42" s="196">
        <f t="shared" ref="G42:K42" si="4">SUM(G30:G41)</f>
        <v>187751.4</v>
      </c>
      <c r="H42" s="196">
        <f t="shared" si="4"/>
        <v>534275</v>
      </c>
      <c r="I42" s="196">
        <f t="shared" si="4"/>
        <v>200300</v>
      </c>
      <c r="J42" s="196">
        <f t="shared" si="4"/>
        <v>109700.6</v>
      </c>
      <c r="K42" s="196">
        <f t="shared" si="4"/>
        <v>122207.39</v>
      </c>
      <c r="L42" s="196">
        <f>SUM(L30:L41)</f>
        <v>357072.39</v>
      </c>
    </row>
    <row r="43" spans="1:16" s="3" customFormat="1">
      <c r="A43" s="273">
        <v>2018</v>
      </c>
      <c r="B43" s="5" t="str">
        <f>IF(L!$A$1=1,L!B166,IF(L!$A$1=2,L!C166,L!D166))</f>
        <v>2018 Janar</v>
      </c>
      <c r="C43" s="191">
        <v>299101.73</v>
      </c>
      <c r="D43" s="197">
        <v>94267.63</v>
      </c>
      <c r="E43" s="188">
        <v>92057.72</v>
      </c>
      <c r="F43" s="191">
        <v>1545</v>
      </c>
      <c r="G43" s="198">
        <v>15856.08</v>
      </c>
      <c r="H43" s="189">
        <v>22434.5</v>
      </c>
      <c r="I43" s="198">
        <v>13131</v>
      </c>
      <c r="J43" s="200">
        <v>7016.5</v>
      </c>
      <c r="K43" s="201">
        <v>30851</v>
      </c>
      <c r="L43" s="191">
        <v>21942.299999999974</v>
      </c>
    </row>
    <row r="44" spans="1:16" s="9" customFormat="1" ht="16.5">
      <c r="A44" s="273"/>
      <c r="B44" s="5" t="str">
        <f>IF(L!$A$1=1,L!B167,IF(L!$A$1=2,L!C167,L!D167))</f>
        <v>2018 Shkurt</v>
      </c>
      <c r="C44" s="225">
        <v>221109.30000000002</v>
      </c>
      <c r="D44" s="226">
        <v>109114.67</v>
      </c>
      <c r="E44" s="227">
        <v>15029.53</v>
      </c>
      <c r="F44" s="225">
        <v>2187.5</v>
      </c>
      <c r="G44" s="228">
        <v>13331</v>
      </c>
      <c r="H44" s="229">
        <v>25935.5</v>
      </c>
      <c r="I44" s="228">
        <v>13174</v>
      </c>
      <c r="J44" s="230">
        <v>9273.1</v>
      </c>
      <c r="K44" s="145">
        <v>4864</v>
      </c>
      <c r="L44" s="191">
        <v>28200</v>
      </c>
      <c r="M44" s="207"/>
    </row>
    <row r="45" spans="1:16" s="9" customFormat="1" ht="16.5">
      <c r="A45" s="273"/>
      <c r="B45" s="5" t="str">
        <f>IF(L!$A$1=1,L!B168,IF(L!$A$1=2,L!C168,L!D168))</f>
        <v xml:space="preserve">2018 Mars </v>
      </c>
      <c r="C45" s="231">
        <v>450115.77999999997</v>
      </c>
      <c r="D45" s="232">
        <v>119279.33</v>
      </c>
      <c r="E45" s="219">
        <v>177218.28</v>
      </c>
      <c r="F45" s="217">
        <v>11356.9</v>
      </c>
      <c r="G45" s="220">
        <v>14007</v>
      </c>
      <c r="H45" s="220">
        <v>61252</v>
      </c>
      <c r="I45" s="220">
        <v>16097</v>
      </c>
      <c r="J45" s="221">
        <v>6656.8</v>
      </c>
      <c r="K45" s="169">
        <v>5623</v>
      </c>
      <c r="L45" s="217">
        <v>38625.469999999972</v>
      </c>
      <c r="M45" s="119"/>
      <c r="N45" s="119"/>
    </row>
    <row r="46" spans="1:16" s="9" customFormat="1" ht="16.5">
      <c r="A46" s="273"/>
      <c r="B46" s="5" t="str">
        <f>IF(L!$A$1=1,L!B169,IF(L!$A$1=2,L!C169,L!D169))</f>
        <v>2018 Prill</v>
      </c>
      <c r="C46" s="217">
        <v>280872.52</v>
      </c>
      <c r="D46" s="218">
        <v>99107.26</v>
      </c>
      <c r="E46" s="219">
        <v>43497.98</v>
      </c>
      <c r="F46" s="217">
        <v>2886</v>
      </c>
      <c r="G46" s="220">
        <v>16574</v>
      </c>
      <c r="H46" s="220">
        <v>36295</v>
      </c>
      <c r="I46" s="220">
        <v>19799</v>
      </c>
      <c r="J46" s="232">
        <v>10760.1</v>
      </c>
      <c r="K46" s="169">
        <v>5933</v>
      </c>
      <c r="L46" s="217">
        <v>46020.18</v>
      </c>
      <c r="M46" s="119"/>
      <c r="N46" s="119"/>
    </row>
    <row r="47" spans="1:16" s="9" customFormat="1" ht="16.5">
      <c r="A47" s="273"/>
      <c r="B47" s="5" t="str">
        <f>IF(L!$A$1=1,L!B170,IF(L!$A$1=2,L!C170,L!D170))</f>
        <v>2018 Maj</v>
      </c>
      <c r="C47" s="217">
        <v>280730.78000000003</v>
      </c>
      <c r="D47" s="232">
        <v>107976.17</v>
      </c>
      <c r="E47" s="219">
        <v>25755.54</v>
      </c>
      <c r="F47" s="217">
        <v>10665.45</v>
      </c>
      <c r="G47" s="220">
        <v>13771</v>
      </c>
      <c r="H47" s="229">
        <v>38844.5</v>
      </c>
      <c r="I47" s="220">
        <v>19120</v>
      </c>
      <c r="J47" s="221">
        <v>7683.4</v>
      </c>
      <c r="K47" s="117">
        <v>19836</v>
      </c>
      <c r="L47" s="217">
        <v>37078.720000000001</v>
      </c>
      <c r="M47" s="211"/>
      <c r="N47" s="120"/>
    </row>
    <row r="48" spans="1:16" s="9" customFormat="1" ht="18.75">
      <c r="A48" s="273"/>
      <c r="B48" s="5" t="str">
        <f>IF(L!$A$1=1,L!B171,IF(L!$A$1=2,L!C171,L!D171))</f>
        <v>2018 Qershor</v>
      </c>
      <c r="C48" s="217">
        <v>514272.89999999997</v>
      </c>
      <c r="D48" s="232">
        <v>184442.15</v>
      </c>
      <c r="E48" s="219">
        <v>172512.19</v>
      </c>
      <c r="F48" s="217">
        <v>6752.5</v>
      </c>
      <c r="G48" s="220">
        <v>13843</v>
      </c>
      <c r="H48" s="220">
        <v>65741</v>
      </c>
      <c r="I48" s="220">
        <v>16610</v>
      </c>
      <c r="J48" s="221">
        <v>5505</v>
      </c>
      <c r="K48" s="117">
        <v>15769</v>
      </c>
      <c r="L48" s="217">
        <v>33098.06</v>
      </c>
      <c r="M48" s="143"/>
      <c r="N48" s="120"/>
      <c r="O48" s="120"/>
      <c r="P48" s="120"/>
    </row>
    <row r="49" spans="1:14" s="9" customFormat="1" ht="16.5">
      <c r="A49" s="273"/>
      <c r="B49" s="5" t="str">
        <f>IF(L!$A$1=1,L!B172,IF(L!$A$1=2,L!C172,L!D172))</f>
        <v>2018 Korrik</v>
      </c>
      <c r="C49" s="217">
        <v>381356.68</v>
      </c>
      <c r="D49" s="218">
        <v>165623.94</v>
      </c>
      <c r="E49" s="219">
        <v>34111.839999999997</v>
      </c>
      <c r="F49" s="217">
        <v>13740.9</v>
      </c>
      <c r="G49" s="220">
        <v>20408</v>
      </c>
      <c r="H49" s="232">
        <v>54942</v>
      </c>
      <c r="I49" s="233">
        <v>19579</v>
      </c>
      <c r="J49" s="221">
        <v>8510.5</v>
      </c>
      <c r="K49" s="117">
        <v>1869</v>
      </c>
      <c r="L49" s="217">
        <v>62571.5</v>
      </c>
      <c r="M49" s="121"/>
      <c r="N49" s="121"/>
    </row>
    <row r="50" spans="1:14" s="9" customFormat="1" ht="16.5">
      <c r="A50" s="273"/>
      <c r="B50" s="5" t="str">
        <f>IF(L!$A$1=1,L!B173,IF(L!$A$1=2,L!C173,L!D173))</f>
        <v>2018 Gusht</v>
      </c>
      <c r="C50" s="217">
        <v>446484.10000000003</v>
      </c>
      <c r="D50" s="218">
        <v>136449.96</v>
      </c>
      <c r="E50" s="219">
        <v>95505.84</v>
      </c>
      <c r="F50" s="217">
        <v>40395.100000000006</v>
      </c>
      <c r="G50" s="220">
        <v>20292</v>
      </c>
      <c r="H50" s="220">
        <v>70350.5</v>
      </c>
      <c r="I50" s="237">
        <v>19722</v>
      </c>
      <c r="J50" s="236">
        <v>11091.5</v>
      </c>
      <c r="K50" s="117">
        <v>1481</v>
      </c>
      <c r="L50" s="217">
        <v>51196.2</v>
      </c>
      <c r="M50" s="122"/>
      <c r="N50" s="122"/>
    </row>
    <row r="51" spans="1:14" s="9" customFormat="1" ht="15.75">
      <c r="A51" s="273"/>
      <c r="B51" s="5" t="str">
        <f>IF(L!$A$1=1,L!B174,IF(L!$A$1=2,L!C174,L!D174))</f>
        <v>2018 Shtator</v>
      </c>
      <c r="C51" s="116"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v>70528.3</v>
      </c>
      <c r="I51" s="237">
        <v>17719</v>
      </c>
      <c r="J51" s="112">
        <v>8293.7999999999993</v>
      </c>
      <c r="K51" s="118">
        <v>324</v>
      </c>
      <c r="L51" s="116">
        <v>37778.1</v>
      </c>
      <c r="M51" s="238"/>
      <c r="N51" s="122"/>
    </row>
    <row r="52" spans="1:14" s="9" customFormat="1">
      <c r="A52" s="273"/>
      <c r="B52" s="5" t="str">
        <f>IF(L!$A$1=1,L!B175,IF(L!$A$1=2,L!C175,L!D175))</f>
        <v>2018 Tetor</v>
      </c>
      <c r="C52" s="116">
        <v>322353.33999999997</v>
      </c>
      <c r="D52" s="236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38"/>
      <c r="N52" s="122"/>
    </row>
    <row r="53" spans="1:14" s="9" customFormat="1">
      <c r="A53" s="273"/>
      <c r="B53" s="5" t="str">
        <f>IF(L!$A$1=1,L!B176,IF(L!$A$1=2,L!C176,L!D176))</f>
        <v xml:space="preserve">2018 Nëntor </v>
      </c>
      <c r="C53" s="260">
        <v>330998.58999999997</v>
      </c>
      <c r="D53" s="261">
        <v>102076.34</v>
      </c>
      <c r="E53" s="260">
        <v>33134.74</v>
      </c>
      <c r="F53" s="260">
        <v>5081.12</v>
      </c>
      <c r="G53" s="260">
        <v>13797.84</v>
      </c>
      <c r="H53" s="260">
        <v>72486</v>
      </c>
      <c r="I53" s="260">
        <v>14364</v>
      </c>
      <c r="J53" s="260">
        <v>7966.5</v>
      </c>
      <c r="K53" s="260">
        <v>1915</v>
      </c>
      <c r="L53" s="260">
        <v>80177.05</v>
      </c>
      <c r="M53" s="238"/>
      <c r="N53" s="238"/>
    </row>
    <row r="54" spans="1:14" s="9" customFormat="1">
      <c r="A54" s="273"/>
      <c r="B54" s="5" t="str">
        <f>IF(L!$A$1=1,L!B177,IF(L!$A$1=2,L!C177,L!D177))</f>
        <v>2018 Dhjetor</v>
      </c>
      <c r="C54" s="260">
        <v>460635.75</v>
      </c>
      <c r="D54" s="262">
        <v>268543.43</v>
      </c>
      <c r="E54" s="263">
        <v>9247.33</v>
      </c>
      <c r="F54" s="260">
        <v>1003</v>
      </c>
      <c r="G54" s="260">
        <v>18475.5</v>
      </c>
      <c r="H54" s="260">
        <v>78427.159999999989</v>
      </c>
      <c r="I54" s="260">
        <v>17750</v>
      </c>
      <c r="J54" s="264">
        <v>12256.2</v>
      </c>
      <c r="K54" s="260">
        <v>6711</v>
      </c>
      <c r="L54" s="260">
        <v>48222.13</v>
      </c>
    </row>
    <row r="55" spans="1:14" s="3" customFormat="1">
      <c r="A55" s="273"/>
      <c r="B55" s="6" t="str">
        <f>IF(L!$A$1=1,L!B178,IF(L!$A$1=2,L!C178,L!D178))</f>
        <v>Gjithsej 2018</v>
      </c>
      <c r="C55" s="113">
        <f t="shared" ref="C55" si="5">SUM(D55:L55)</f>
        <v>4248972.95</v>
      </c>
      <c r="D55" s="114">
        <f>SUM(D43:D54)</f>
        <v>1557415.4000000001</v>
      </c>
      <c r="E55" s="114">
        <f>SUM(E43:E54)</f>
        <v>772646.72999999986</v>
      </c>
      <c r="F55" s="114">
        <f>SUM(F43:F54)</f>
        <v>122269.31</v>
      </c>
      <c r="G55" s="114">
        <f t="shared" ref="G55:K55" si="6">SUM(G43:G54)</f>
        <v>197154.92</v>
      </c>
      <c r="H55" s="114">
        <f t="shared" si="6"/>
        <v>658771.46000000008</v>
      </c>
      <c r="I55" s="114">
        <f t="shared" si="6"/>
        <v>206641</v>
      </c>
      <c r="J55" s="114">
        <f t="shared" si="6"/>
        <v>107396.2</v>
      </c>
      <c r="K55" s="114">
        <f t="shared" si="6"/>
        <v>95176</v>
      </c>
      <c r="L55" s="114">
        <f>SUM(L43:L54)</f>
        <v>531501.92999999993</v>
      </c>
    </row>
    <row r="56" spans="1:14" s="3" customFormat="1" ht="15.75">
      <c r="A56" s="273">
        <v>2019</v>
      </c>
      <c r="B56" s="5" t="str">
        <f>IF(L!$A$1=1,L!B179,IF(L!$A$1=2,L!C179,L!D179))</f>
        <v>2019 Janar</v>
      </c>
      <c r="C56" s="191">
        <f>SUM(D56:L56)</f>
        <v>276567.32</v>
      </c>
      <c r="D56" s="197">
        <v>116205.95</v>
      </c>
      <c r="E56" s="188">
        <v>5075.63</v>
      </c>
      <c r="F56" s="191">
        <v>11227.64</v>
      </c>
      <c r="G56" s="252">
        <v>11569</v>
      </c>
      <c r="H56" s="189">
        <v>52774</v>
      </c>
      <c r="I56" s="251">
        <v>12150</v>
      </c>
      <c r="J56" s="236">
        <f t="shared" ref="J56" si="7">+J44</f>
        <v>9273.1</v>
      </c>
      <c r="K56" s="201">
        <v>29547</v>
      </c>
      <c r="L56" s="191">
        <v>28745</v>
      </c>
      <c r="N56" s="253"/>
    </row>
    <row r="57" spans="1:14" s="3" customFormat="1" ht="16.5">
      <c r="A57" s="273"/>
      <c r="B57" s="5" t="str">
        <f>IF(L!$A$1=1,L!B180,IF(L!$A$1=2,L!C180,L!D180))</f>
        <v>2019 Shkurt</v>
      </c>
      <c r="C57" s="225">
        <f>SUM(D57:L57)</f>
        <v>244919.84</v>
      </c>
      <c r="D57" s="226">
        <v>90230.66</v>
      </c>
      <c r="E57" s="227">
        <v>14959.98</v>
      </c>
      <c r="F57" s="225">
        <v>4037.2</v>
      </c>
      <c r="G57" s="228">
        <v>16770.5</v>
      </c>
      <c r="H57" s="229">
        <v>58599</v>
      </c>
      <c r="I57" s="228">
        <v>13010</v>
      </c>
      <c r="J57" s="230">
        <v>7751.5</v>
      </c>
      <c r="K57" s="145">
        <v>9382</v>
      </c>
      <c r="L57" s="191">
        <v>30179</v>
      </c>
    </row>
    <row r="58" spans="1:14" s="3" customFormat="1" ht="16.5">
      <c r="A58" s="273"/>
      <c r="B58" s="5" t="str">
        <f>IF(L!$A$1=1,L!B181,IF(L!$A$1=2,L!C181,L!D181))</f>
        <v xml:space="preserve">2019 Mars </v>
      </c>
      <c r="C58" s="231">
        <f t="shared" ref="C58:C68" si="8">SUM(D58:L58)</f>
        <v>0</v>
      </c>
      <c r="D58" s="232"/>
      <c r="E58" s="219"/>
      <c r="F58" s="217"/>
      <c r="G58" s="220"/>
      <c r="H58" s="220"/>
      <c r="I58" s="220"/>
      <c r="J58" s="221"/>
      <c r="K58" s="169"/>
      <c r="L58" s="217"/>
    </row>
    <row r="59" spans="1:14" s="3" customFormat="1" ht="16.5">
      <c r="A59" s="273"/>
      <c r="B59" s="5" t="str">
        <f>IF(L!$A$1=1,L!B182,IF(L!$A$1=2,L!C182,L!D182))</f>
        <v>2019 Prill</v>
      </c>
      <c r="C59" s="217">
        <f t="shared" si="8"/>
        <v>0</v>
      </c>
      <c r="D59" s="218"/>
      <c r="E59" s="219"/>
      <c r="F59" s="217"/>
      <c r="G59" s="220"/>
      <c r="H59" s="220"/>
      <c r="I59" s="220"/>
      <c r="J59" s="232"/>
      <c r="K59" s="169"/>
      <c r="L59" s="217"/>
    </row>
    <row r="60" spans="1:14" s="3" customFormat="1" ht="16.5">
      <c r="A60" s="273"/>
      <c r="B60" s="5" t="str">
        <f>IF(L!$A$1=1,L!B183,IF(L!$A$1=2,L!C183,L!D183))</f>
        <v>2019 Maj</v>
      </c>
      <c r="C60" s="217">
        <f t="shared" si="8"/>
        <v>0</v>
      </c>
      <c r="D60" s="232"/>
      <c r="E60" s="219"/>
      <c r="F60" s="217"/>
      <c r="G60" s="220"/>
      <c r="H60" s="229"/>
      <c r="I60" s="220"/>
      <c r="J60" s="221"/>
      <c r="K60" s="117"/>
      <c r="L60" s="217"/>
    </row>
    <row r="61" spans="1:14" s="3" customFormat="1" ht="16.5">
      <c r="A61" s="273"/>
      <c r="B61" s="5" t="str">
        <f>IF(L!$A$1=1,L!B184,IF(L!$A$1=2,L!C184,L!D184))</f>
        <v>2019 Qershor</v>
      </c>
      <c r="C61" s="217">
        <f t="shared" si="8"/>
        <v>0</v>
      </c>
      <c r="D61" s="232"/>
      <c r="E61" s="219"/>
      <c r="F61" s="217"/>
      <c r="G61" s="220"/>
      <c r="H61" s="220"/>
      <c r="I61" s="220"/>
      <c r="J61" s="221"/>
      <c r="K61" s="117"/>
      <c r="L61" s="217"/>
    </row>
    <row r="62" spans="1:14" s="3" customFormat="1" ht="16.5">
      <c r="A62" s="273"/>
      <c r="B62" s="5" t="str">
        <f>IF(L!$A$1=1,L!B185,IF(L!$A$1=2,L!C185,L!D185))</f>
        <v>2019 Korrik</v>
      </c>
      <c r="C62" s="217">
        <f t="shared" si="8"/>
        <v>0</v>
      </c>
      <c r="D62" s="218"/>
      <c r="E62" s="219"/>
      <c r="F62" s="217"/>
      <c r="G62" s="220"/>
      <c r="H62" s="232"/>
      <c r="I62" s="233"/>
      <c r="J62" s="221"/>
      <c r="K62" s="117"/>
      <c r="L62" s="217"/>
    </row>
    <row r="63" spans="1:14" s="3" customFormat="1" ht="16.5">
      <c r="A63" s="273"/>
      <c r="B63" s="5" t="str">
        <f>IF(L!$A$1=1,L!B186,IF(L!$A$1=2,L!C186,L!D186))</f>
        <v>2019 Gusht</v>
      </c>
      <c r="C63" s="217">
        <f t="shared" si="8"/>
        <v>0</v>
      </c>
      <c r="D63" s="218"/>
      <c r="E63" s="219"/>
      <c r="F63" s="217"/>
      <c r="G63" s="220"/>
      <c r="H63" s="220"/>
      <c r="I63" s="237"/>
      <c r="J63" s="236"/>
      <c r="K63" s="117"/>
      <c r="L63" s="217"/>
    </row>
    <row r="64" spans="1:14" s="3" customFormat="1" ht="15.75">
      <c r="A64" s="273"/>
      <c r="B64" s="5" t="str">
        <f>IF(L!$A$1=1,L!B187,IF(L!$A$1=2,L!C187,L!D187))</f>
        <v>2019 Shtator</v>
      </c>
      <c r="C64" s="116">
        <f t="shared" si="8"/>
        <v>0</v>
      </c>
      <c r="D64" s="109"/>
      <c r="E64" s="110"/>
      <c r="F64" s="116"/>
      <c r="G64" s="111"/>
      <c r="H64" s="111"/>
      <c r="I64" s="237"/>
      <c r="J64" s="112"/>
      <c r="K64" s="118"/>
      <c r="L64" s="116"/>
      <c r="N64" s="253"/>
    </row>
    <row r="65" spans="1:12" s="3" customFormat="1">
      <c r="A65" s="273"/>
      <c r="B65" s="5" t="str">
        <f>IF(L!$A$1=1,L!B188,IF(L!$A$1=2,L!C188,L!D188))</f>
        <v>2019 Tetor</v>
      </c>
      <c r="C65" s="116">
        <f t="shared" si="8"/>
        <v>0</v>
      </c>
      <c r="D65" s="236"/>
      <c r="E65" s="110"/>
      <c r="F65" s="116"/>
      <c r="G65" s="111"/>
      <c r="H65" s="111"/>
      <c r="I65" s="111"/>
      <c r="J65" s="112"/>
      <c r="K65" s="117"/>
      <c r="L65" s="116"/>
    </row>
    <row r="66" spans="1:12" s="3" customFormat="1" ht="15.75" thickBot="1">
      <c r="A66" s="273"/>
      <c r="B66" s="5" t="str">
        <f>IF(L!$A$1=1,L!B189,IF(L!$A$1=2,L!C189,L!D189))</f>
        <v xml:space="preserve">2019 Nëntor </v>
      </c>
      <c r="C66" s="108">
        <f t="shared" si="8"/>
        <v>0</v>
      </c>
      <c r="D66" s="236"/>
      <c r="E66" s="108"/>
      <c r="F66" s="108"/>
      <c r="G66" s="108"/>
      <c r="H66" s="108"/>
      <c r="I66" s="108"/>
      <c r="J66" s="108"/>
      <c r="K66" s="108"/>
      <c r="L66" s="108"/>
    </row>
    <row r="67" spans="1:12" s="3" customFormat="1" ht="15.75" thickBot="1">
      <c r="A67" s="273"/>
      <c r="B67" s="5" t="str">
        <f>IF(L!$A$1=1,L!B190,IF(L!$A$1=2,L!C190,L!D190))</f>
        <v>2019 Dhjetor</v>
      </c>
      <c r="C67" s="108">
        <f t="shared" si="8"/>
        <v>0</v>
      </c>
      <c r="D67" s="141"/>
      <c r="E67" s="142"/>
      <c r="F67" s="108"/>
      <c r="G67" s="108"/>
      <c r="H67" s="108"/>
      <c r="I67" s="108"/>
      <c r="J67" s="212"/>
      <c r="K67" s="108"/>
      <c r="L67" s="108"/>
    </row>
    <row r="68" spans="1:12" s="3" customFormat="1">
      <c r="A68" s="273"/>
      <c r="B68" s="6" t="str">
        <f>IF(L!$A$1=1,L!B191,IF(L!$A$1=2,L!C191,L!D191))</f>
        <v>Gjithsej 2019</v>
      </c>
      <c r="C68" s="113">
        <f t="shared" si="8"/>
        <v>521487.15999999992</v>
      </c>
      <c r="D68" s="114">
        <f>SUM(D56:D67)</f>
        <v>206436.61</v>
      </c>
      <c r="E68" s="114">
        <f>SUM(E56:E67)</f>
        <v>20035.61</v>
      </c>
      <c r="F68" s="114">
        <f>SUM(F56:F67)</f>
        <v>15264.84</v>
      </c>
      <c r="G68" s="114">
        <f t="shared" ref="G68:K68" si="9">SUM(G56:G67)</f>
        <v>28339.5</v>
      </c>
      <c r="H68" s="114">
        <f t="shared" si="9"/>
        <v>111373</v>
      </c>
      <c r="I68" s="114">
        <f t="shared" si="9"/>
        <v>25160</v>
      </c>
      <c r="J68" s="114">
        <f t="shared" si="9"/>
        <v>17024.599999999999</v>
      </c>
      <c r="K68" s="114">
        <f t="shared" si="9"/>
        <v>38929</v>
      </c>
      <c r="L68" s="114">
        <f>SUM(L56:L67)</f>
        <v>58924</v>
      </c>
    </row>
    <row r="69" spans="1:12" s="3" customFormat="1">
      <c r="D69" s="4"/>
      <c r="E69" s="4"/>
      <c r="F69" s="4"/>
    </row>
    <row r="70" spans="1:12" s="3" customFormat="1">
      <c r="D70" s="4"/>
      <c r="E70" s="4"/>
      <c r="F70" s="4"/>
    </row>
    <row r="71" spans="1:12" s="3" customFormat="1">
      <c r="D71" s="4"/>
      <c r="E71" s="4"/>
      <c r="F71" s="4"/>
    </row>
    <row r="72" spans="1:12" s="3" customFormat="1">
      <c r="D72" s="4"/>
      <c r="E72" s="4"/>
      <c r="F72" s="4"/>
    </row>
    <row r="73" spans="1:12" s="3" customFormat="1">
      <c r="D73" s="4"/>
      <c r="E73" s="4"/>
      <c r="F73" s="4"/>
    </row>
    <row r="74" spans="1:12" s="3" customFormat="1">
      <c r="C74" s="258"/>
      <c r="D74" s="4"/>
      <c r="E74" s="4"/>
      <c r="F74" s="4"/>
    </row>
    <row r="75" spans="1:12" s="3" customFormat="1">
      <c r="D75" s="4"/>
      <c r="E75" s="4"/>
      <c r="F75" s="4"/>
    </row>
    <row r="76" spans="1:12" s="3" customFormat="1">
      <c r="C76" s="253"/>
      <c r="D76" s="4"/>
      <c r="E76" s="4"/>
      <c r="F76" s="4"/>
    </row>
    <row r="77" spans="1:12" s="3" customFormat="1">
      <c r="C77" s="259"/>
      <c r="D77" s="4"/>
      <c r="E77" s="4"/>
      <c r="F77" s="4"/>
    </row>
    <row r="78" spans="1:12" s="3" customFormat="1">
      <c r="D78" s="4"/>
      <c r="E78" s="4"/>
      <c r="F78" s="4"/>
    </row>
    <row r="79" spans="1:12" s="3" customFormat="1">
      <c r="D79" s="4"/>
      <c r="E79" s="4"/>
      <c r="F79" s="4"/>
    </row>
    <row r="80" spans="1:12" s="3" customFormat="1">
      <c r="D80" s="4"/>
      <c r="E80" s="4"/>
      <c r="F80" s="4"/>
    </row>
    <row r="81" spans="4:6" s="3" customFormat="1">
      <c r="D81" s="4"/>
      <c r="E81" s="4"/>
      <c r="F81" s="4"/>
    </row>
    <row r="82" spans="4:6" s="3" customFormat="1">
      <c r="D82" s="4"/>
      <c r="E82" s="4"/>
      <c r="F82" s="4"/>
    </row>
    <row r="83" spans="4:6" s="3" customFormat="1">
      <c r="D83" s="4"/>
      <c r="E83" s="4"/>
      <c r="F83" s="4"/>
    </row>
    <row r="84" spans="4:6" s="3" customFormat="1">
      <c r="D84" s="4"/>
      <c r="E84" s="4"/>
      <c r="F84" s="4"/>
    </row>
    <row r="85" spans="4:6" s="3" customFormat="1">
      <c r="D85" s="4"/>
      <c r="E85" s="4"/>
      <c r="F85" s="4"/>
    </row>
    <row r="86" spans="4:6" s="3" customFormat="1">
      <c r="D86" s="4"/>
      <c r="E86" s="4"/>
      <c r="F86" s="4"/>
    </row>
    <row r="87" spans="4:6" s="3" customFormat="1">
      <c r="D87" s="4"/>
      <c r="E87" s="4"/>
      <c r="F87" s="4"/>
    </row>
    <row r="88" spans="4:6" s="3" customFormat="1">
      <c r="D88" s="4"/>
      <c r="E88" s="4"/>
      <c r="F88" s="4"/>
    </row>
    <row r="89" spans="4:6" s="3" customFormat="1">
      <c r="D89" s="4"/>
      <c r="E89" s="4"/>
      <c r="F89" s="4"/>
    </row>
    <row r="90" spans="4:6" s="3" customFormat="1">
      <c r="D90" s="4"/>
      <c r="E90" s="4"/>
      <c r="F90" s="4"/>
    </row>
    <row r="91" spans="4:6" s="3" customFormat="1">
      <c r="D91" s="4"/>
      <c r="E91" s="4"/>
      <c r="F91" s="4"/>
    </row>
    <row r="92" spans="4:6" s="3" customFormat="1">
      <c r="D92" s="4"/>
      <c r="E92" s="4"/>
      <c r="F92" s="4"/>
    </row>
    <row r="93" spans="4:6" s="3" customFormat="1">
      <c r="D93" s="4"/>
      <c r="E93" s="4"/>
      <c r="F93" s="4"/>
    </row>
    <row r="94" spans="4:6" s="3" customFormat="1">
      <c r="D94" s="4"/>
      <c r="E94" s="4"/>
      <c r="F94" s="4"/>
    </row>
    <row r="95" spans="4:6" s="3" customFormat="1">
      <c r="D95" s="4"/>
      <c r="E95" s="4"/>
      <c r="F95" s="4"/>
    </row>
    <row r="96" spans="4:6" s="3" customFormat="1">
      <c r="D96" s="4"/>
      <c r="E96" s="4"/>
      <c r="F96" s="4"/>
    </row>
    <row r="97" spans="4:6" s="3" customFormat="1">
      <c r="D97" s="4"/>
      <c r="E97" s="4"/>
      <c r="F97" s="4"/>
    </row>
    <row r="98" spans="4:6" s="3" customFormat="1">
      <c r="D98" s="4"/>
      <c r="E98" s="4"/>
      <c r="F98" s="4"/>
    </row>
    <row r="99" spans="4:6" s="3" customFormat="1">
      <c r="D99" s="4"/>
      <c r="E99" s="4"/>
      <c r="F99" s="4"/>
    </row>
    <row r="100" spans="4:6" s="3" customFormat="1">
      <c r="D100" s="4"/>
      <c r="E100" s="4"/>
      <c r="F100" s="4"/>
    </row>
    <row r="101" spans="4:6" s="3" customFormat="1">
      <c r="D101" s="4"/>
      <c r="E101" s="4"/>
      <c r="F101" s="4"/>
    </row>
    <row r="102" spans="4:6" s="3" customFormat="1">
      <c r="D102" s="4"/>
      <c r="E102" s="4"/>
      <c r="F102" s="4"/>
    </row>
    <row r="103" spans="4:6" s="3" customFormat="1">
      <c r="D103" s="4"/>
      <c r="E103" s="4"/>
      <c r="F103" s="4"/>
    </row>
    <row r="104" spans="4:6" s="3" customFormat="1">
      <c r="D104" s="4"/>
      <c r="E104" s="4"/>
      <c r="F104" s="4"/>
    </row>
    <row r="105" spans="4:6" s="3" customFormat="1">
      <c r="D105" s="4"/>
      <c r="E105" s="4"/>
      <c r="F105" s="4"/>
    </row>
    <row r="106" spans="4:6" s="3" customFormat="1">
      <c r="D106" s="4"/>
      <c r="E106" s="4"/>
      <c r="F106" s="4"/>
    </row>
    <row r="107" spans="4:6" s="3" customFormat="1">
      <c r="D107" s="4"/>
      <c r="E107" s="4"/>
      <c r="F107" s="4"/>
    </row>
    <row r="108" spans="4:6" s="3" customFormat="1">
      <c r="D108" s="4"/>
      <c r="E108" s="4"/>
      <c r="F108" s="4"/>
    </row>
    <row r="109" spans="4:6" s="3" customFormat="1">
      <c r="D109" s="4"/>
      <c r="E109" s="4"/>
      <c r="F109" s="4"/>
    </row>
    <row r="110" spans="4:6" s="3" customFormat="1">
      <c r="D110" s="4"/>
      <c r="E110" s="4"/>
      <c r="F110" s="4"/>
    </row>
    <row r="111" spans="4:6" s="3" customFormat="1">
      <c r="D111" s="4"/>
      <c r="E111" s="4"/>
      <c r="F111" s="4"/>
    </row>
    <row r="112" spans="4:6" s="3" customFormat="1">
      <c r="D112" s="4"/>
      <c r="E112" s="4"/>
      <c r="F112" s="4"/>
    </row>
    <row r="113" spans="4:6" s="3" customFormat="1">
      <c r="D113" s="4"/>
      <c r="E113" s="4"/>
      <c r="F113" s="4"/>
    </row>
    <row r="114" spans="4:6" s="3" customFormat="1">
      <c r="D114" s="4"/>
      <c r="E114" s="4"/>
      <c r="F114" s="4"/>
    </row>
    <row r="115" spans="4:6" s="3" customFormat="1">
      <c r="D115" s="4"/>
      <c r="E115" s="4"/>
      <c r="F115" s="4"/>
    </row>
    <row r="116" spans="4:6" s="3" customFormat="1">
      <c r="D116" s="4"/>
      <c r="E116" s="4"/>
      <c r="F116" s="4"/>
    </row>
    <row r="117" spans="4:6" s="3" customFormat="1">
      <c r="D117" s="4"/>
      <c r="E117" s="4"/>
      <c r="F117" s="4"/>
    </row>
    <row r="118" spans="4:6" s="3" customFormat="1">
      <c r="D118" s="4"/>
      <c r="E118" s="4"/>
      <c r="F118" s="4"/>
    </row>
    <row r="119" spans="4:6" s="3" customFormat="1">
      <c r="D119" s="4"/>
      <c r="E119" s="4"/>
      <c r="F119" s="4"/>
    </row>
    <row r="120" spans="4:6" s="3" customFormat="1">
      <c r="D120" s="4"/>
      <c r="E120" s="4"/>
      <c r="F120" s="4"/>
    </row>
    <row r="121" spans="4:6" s="3" customFormat="1">
      <c r="D121" s="4"/>
      <c r="E121" s="4"/>
      <c r="F121" s="4"/>
    </row>
    <row r="122" spans="4:6" s="3" customFormat="1">
      <c r="D122" s="4"/>
      <c r="E122" s="4"/>
      <c r="F122" s="4"/>
    </row>
    <row r="123" spans="4:6" s="3" customFormat="1">
      <c r="D123" s="4"/>
      <c r="E123" s="4"/>
      <c r="F123" s="4"/>
    </row>
    <row r="124" spans="4:6" s="3" customFormat="1">
      <c r="D124" s="4"/>
      <c r="E124" s="4"/>
      <c r="F124" s="4"/>
    </row>
    <row r="125" spans="4:6" s="3" customFormat="1">
      <c r="D125" s="4"/>
      <c r="E125" s="4"/>
      <c r="F125" s="4"/>
    </row>
    <row r="126" spans="4:6" s="3" customFormat="1">
      <c r="D126" s="4"/>
      <c r="E126" s="4"/>
      <c r="F126" s="4"/>
    </row>
    <row r="127" spans="4:6" s="3" customFormat="1">
      <c r="D127" s="4"/>
      <c r="E127" s="4"/>
      <c r="F127" s="4"/>
    </row>
    <row r="128" spans="4:6" s="3" customFormat="1">
      <c r="D128" s="4"/>
      <c r="E128" s="4"/>
      <c r="F128" s="4"/>
    </row>
    <row r="129" spans="4:6" s="3" customFormat="1">
      <c r="D129" s="4"/>
      <c r="E129" s="4"/>
      <c r="F129" s="4"/>
    </row>
    <row r="130" spans="4:6" s="3" customFormat="1">
      <c r="D130" s="4"/>
      <c r="E130" s="4"/>
      <c r="F130" s="4"/>
    </row>
    <row r="131" spans="4:6" s="3" customFormat="1">
      <c r="D131" s="4"/>
      <c r="E131" s="4"/>
      <c r="F131" s="4"/>
    </row>
    <row r="132" spans="4:6" s="3" customFormat="1">
      <c r="D132" s="4"/>
      <c r="E132" s="4"/>
      <c r="F132" s="4"/>
    </row>
    <row r="133" spans="4:6" s="3" customFormat="1">
      <c r="D133" s="4"/>
      <c r="E133" s="4"/>
      <c r="F133" s="4"/>
    </row>
    <row r="134" spans="4:6" s="3" customFormat="1">
      <c r="D134" s="4"/>
      <c r="E134" s="4"/>
      <c r="F134" s="4"/>
    </row>
    <row r="135" spans="4:6" s="3" customFormat="1">
      <c r="D135" s="4"/>
      <c r="E135" s="4"/>
      <c r="F135" s="4"/>
    </row>
    <row r="136" spans="4:6" s="3" customFormat="1">
      <c r="D136" s="4"/>
      <c r="E136" s="4"/>
      <c r="F136" s="4"/>
    </row>
    <row r="137" spans="4:6" s="3" customFormat="1">
      <c r="D137" s="4"/>
      <c r="E137" s="4"/>
      <c r="F137" s="4"/>
    </row>
    <row r="138" spans="4:6" s="3" customFormat="1">
      <c r="D138" s="4"/>
      <c r="E138" s="4"/>
      <c r="F138" s="4"/>
    </row>
    <row r="139" spans="4:6" s="3" customFormat="1">
      <c r="D139" s="4"/>
      <c r="E139" s="4"/>
      <c r="F139" s="4"/>
    </row>
    <row r="140" spans="4:6" s="3" customFormat="1">
      <c r="D140" s="4"/>
      <c r="E140" s="4"/>
      <c r="F140" s="4"/>
    </row>
    <row r="141" spans="4:6" s="3" customFormat="1">
      <c r="D141" s="4"/>
      <c r="E141" s="4"/>
      <c r="F141" s="4"/>
    </row>
    <row r="142" spans="4:6" s="3" customFormat="1">
      <c r="D142" s="4"/>
      <c r="E142" s="4"/>
      <c r="F142" s="4"/>
    </row>
    <row r="143" spans="4:6" s="3" customFormat="1">
      <c r="D143" s="4"/>
      <c r="E143" s="4"/>
      <c r="F143" s="4"/>
    </row>
    <row r="144" spans="4:6" s="3" customFormat="1">
      <c r="D144" s="4"/>
      <c r="E144" s="4"/>
      <c r="F144" s="4"/>
    </row>
    <row r="145" spans="4:6" s="3" customFormat="1">
      <c r="D145" s="4"/>
      <c r="E145" s="4"/>
      <c r="F145" s="4"/>
    </row>
    <row r="146" spans="4:6" s="3" customFormat="1">
      <c r="D146" s="4"/>
      <c r="E146" s="4"/>
      <c r="F146" s="4"/>
    </row>
    <row r="147" spans="4:6" s="3" customFormat="1">
      <c r="D147" s="4"/>
      <c r="E147" s="4"/>
      <c r="F147" s="4"/>
    </row>
    <row r="148" spans="4:6" s="3" customFormat="1">
      <c r="D148" s="4"/>
      <c r="E148" s="4"/>
      <c r="F148" s="4"/>
    </row>
    <row r="149" spans="4:6" s="3" customFormat="1">
      <c r="D149" s="4"/>
      <c r="E149" s="4"/>
      <c r="F149" s="4"/>
    </row>
    <row r="150" spans="4:6" s="3" customFormat="1">
      <c r="D150" s="4"/>
      <c r="E150" s="4"/>
      <c r="F150" s="4"/>
    </row>
    <row r="151" spans="4:6" s="3" customFormat="1">
      <c r="D151" s="4"/>
      <c r="E151" s="4"/>
      <c r="F151" s="4"/>
    </row>
    <row r="152" spans="4:6" s="3" customFormat="1">
      <c r="D152" s="4"/>
      <c r="E152" s="4"/>
      <c r="F152" s="4"/>
    </row>
    <row r="153" spans="4:6" s="3" customFormat="1">
      <c r="D153" s="4"/>
      <c r="E153" s="4"/>
      <c r="F153" s="4"/>
    </row>
    <row r="154" spans="4:6" s="3" customFormat="1">
      <c r="D154" s="4"/>
      <c r="E154" s="4"/>
      <c r="F154" s="4"/>
    </row>
    <row r="155" spans="4:6" s="3" customFormat="1">
      <c r="D155" s="4"/>
      <c r="E155" s="4"/>
      <c r="F155" s="4"/>
    </row>
    <row r="156" spans="4:6" s="3" customFormat="1">
      <c r="D156" s="4"/>
      <c r="E156" s="4"/>
      <c r="F156" s="4"/>
    </row>
    <row r="157" spans="4:6" s="3" customFormat="1">
      <c r="D157" s="4"/>
      <c r="E157" s="4"/>
      <c r="F157" s="4"/>
    </row>
    <row r="158" spans="4:6" s="3" customFormat="1">
      <c r="D158" s="4"/>
      <c r="E158" s="4"/>
      <c r="F158" s="4"/>
    </row>
    <row r="159" spans="4:6" s="3" customFormat="1">
      <c r="D159" s="4"/>
      <c r="E159" s="4"/>
      <c r="F159" s="4"/>
    </row>
    <row r="160" spans="4:6" s="3" customFormat="1">
      <c r="D160" s="4"/>
      <c r="E160" s="4"/>
      <c r="F160" s="4"/>
    </row>
    <row r="161" spans="4:6" s="3" customFormat="1">
      <c r="D161" s="4"/>
      <c r="E161" s="4"/>
      <c r="F161" s="4"/>
    </row>
    <row r="162" spans="4:6" s="3" customFormat="1">
      <c r="D162" s="4"/>
      <c r="E162" s="4"/>
      <c r="F162" s="4"/>
    </row>
    <row r="163" spans="4:6" s="3" customFormat="1">
      <c r="D163" s="4"/>
      <c r="E163" s="4"/>
      <c r="F163" s="4"/>
    </row>
    <row r="164" spans="4:6" s="3" customFormat="1">
      <c r="D164" s="4"/>
      <c r="E164" s="4"/>
      <c r="F164" s="4"/>
    </row>
    <row r="165" spans="4:6" s="3" customFormat="1">
      <c r="D165" s="4"/>
      <c r="E165" s="4"/>
      <c r="F165" s="4"/>
    </row>
    <row r="166" spans="4:6" s="3" customFormat="1">
      <c r="D166" s="4"/>
      <c r="E166" s="4"/>
      <c r="F166" s="4"/>
    </row>
    <row r="167" spans="4:6" s="3" customFormat="1">
      <c r="D167" s="4"/>
      <c r="E167" s="4"/>
      <c r="F167" s="4"/>
    </row>
    <row r="168" spans="4:6" s="3" customFormat="1">
      <c r="D168" s="4"/>
      <c r="E168" s="4"/>
      <c r="F168" s="4"/>
    </row>
    <row r="169" spans="4:6" s="3" customFormat="1">
      <c r="D169" s="4"/>
      <c r="E169" s="4"/>
      <c r="F169" s="4"/>
    </row>
    <row r="170" spans="4:6" s="3" customFormat="1">
      <c r="D170" s="4"/>
      <c r="E170" s="4"/>
      <c r="F170" s="4"/>
    </row>
    <row r="171" spans="4:6" s="3" customFormat="1">
      <c r="D171" s="4"/>
      <c r="E171" s="4"/>
      <c r="F171" s="4"/>
    </row>
    <row r="172" spans="4:6" s="3" customFormat="1">
      <c r="D172" s="4"/>
      <c r="E172" s="4"/>
      <c r="F172" s="4"/>
    </row>
    <row r="173" spans="4:6" s="3" customFormat="1">
      <c r="D173" s="4"/>
      <c r="E173" s="4"/>
      <c r="F173" s="4"/>
    </row>
    <row r="174" spans="4:6" s="3" customFormat="1">
      <c r="D174" s="4"/>
      <c r="E174" s="4"/>
      <c r="F174" s="4"/>
    </row>
    <row r="175" spans="4:6" s="3" customFormat="1">
      <c r="D175" s="4"/>
      <c r="E175" s="4"/>
      <c r="F175" s="4"/>
    </row>
    <row r="176" spans="4:6" s="3" customFormat="1">
      <c r="D176" s="4"/>
      <c r="E176" s="4"/>
      <c r="F176" s="4"/>
    </row>
    <row r="177" spans="4:6" s="3" customFormat="1">
      <c r="D177" s="4"/>
      <c r="E177" s="4"/>
      <c r="F177" s="4"/>
    </row>
    <row r="178" spans="4:6" s="3" customFormat="1">
      <c r="D178" s="4"/>
      <c r="E178" s="4"/>
      <c r="F178" s="4"/>
    </row>
    <row r="179" spans="4:6" s="3" customFormat="1">
      <c r="D179" s="4"/>
      <c r="E179" s="4"/>
      <c r="F179" s="4"/>
    </row>
    <row r="180" spans="4:6" s="3" customFormat="1">
      <c r="D180" s="4"/>
      <c r="E180" s="4"/>
      <c r="F180" s="4"/>
    </row>
    <row r="181" spans="4:6" s="3" customFormat="1">
      <c r="D181" s="4"/>
      <c r="E181" s="4"/>
      <c r="F181" s="4"/>
    </row>
    <row r="182" spans="4:6" s="3" customFormat="1">
      <c r="D182" s="4"/>
      <c r="E182" s="4"/>
      <c r="F182" s="4"/>
    </row>
    <row r="183" spans="4:6" s="3" customFormat="1">
      <c r="D183" s="4"/>
      <c r="E183" s="4"/>
      <c r="F183" s="4"/>
    </row>
    <row r="184" spans="4:6" s="3" customFormat="1">
      <c r="D184" s="4"/>
      <c r="E184" s="4"/>
      <c r="F184" s="4"/>
    </row>
    <row r="185" spans="4:6" s="3" customFormat="1">
      <c r="D185" s="4"/>
      <c r="E185" s="4"/>
      <c r="F185" s="4"/>
    </row>
    <row r="186" spans="4:6" s="3" customFormat="1">
      <c r="D186" s="4"/>
      <c r="E186" s="4"/>
      <c r="F186" s="4"/>
    </row>
    <row r="187" spans="4:6" s="3" customFormat="1">
      <c r="D187" s="4"/>
      <c r="E187" s="4"/>
      <c r="F187" s="4"/>
    </row>
    <row r="188" spans="4:6" s="3" customFormat="1">
      <c r="D188" s="4"/>
      <c r="E188" s="4"/>
      <c r="F188" s="4"/>
    </row>
    <row r="189" spans="4:6" s="3" customFormat="1">
      <c r="D189" s="4"/>
      <c r="E189" s="4"/>
      <c r="F189" s="4"/>
    </row>
    <row r="190" spans="4:6" s="3" customFormat="1">
      <c r="D190" s="4"/>
      <c r="E190" s="4"/>
      <c r="F190" s="4"/>
    </row>
    <row r="191" spans="4:6" s="3" customFormat="1">
      <c r="D191" s="4"/>
      <c r="E191" s="4"/>
      <c r="F191" s="4"/>
    </row>
    <row r="192" spans="4:6" s="3" customFormat="1">
      <c r="D192" s="4"/>
      <c r="E192" s="4"/>
      <c r="F192" s="4"/>
    </row>
    <row r="193" spans="4:6" s="3" customFormat="1">
      <c r="D193" s="4"/>
      <c r="E193" s="4"/>
      <c r="F193" s="4"/>
    </row>
    <row r="194" spans="4:6" s="3" customFormat="1">
      <c r="D194" s="4"/>
      <c r="E194" s="4"/>
      <c r="F194" s="4"/>
    </row>
    <row r="195" spans="4:6" s="3" customFormat="1">
      <c r="D195" s="4"/>
      <c r="E195" s="4"/>
      <c r="F195" s="4"/>
    </row>
    <row r="196" spans="4:6" s="3" customFormat="1">
      <c r="D196" s="4"/>
      <c r="E196" s="4"/>
      <c r="F196" s="4"/>
    </row>
    <row r="197" spans="4:6" s="3" customFormat="1">
      <c r="D197" s="4"/>
      <c r="E197" s="4"/>
      <c r="F197" s="4"/>
    </row>
    <row r="198" spans="4:6" s="3" customFormat="1">
      <c r="D198" s="4"/>
      <c r="E198" s="4"/>
      <c r="F198" s="4"/>
    </row>
    <row r="199" spans="4:6" s="3" customFormat="1">
      <c r="D199" s="4"/>
      <c r="E199" s="4"/>
      <c r="F199" s="4"/>
    </row>
    <row r="200" spans="4:6" s="3" customFormat="1">
      <c r="D200" s="4"/>
      <c r="E200" s="4"/>
      <c r="F200" s="4"/>
    </row>
    <row r="201" spans="4:6" s="3" customFormat="1">
      <c r="D201" s="4"/>
      <c r="E201" s="4"/>
      <c r="F201" s="4"/>
    </row>
    <row r="202" spans="4:6" s="3" customFormat="1">
      <c r="D202" s="4"/>
      <c r="E202" s="4"/>
      <c r="F202" s="4"/>
    </row>
    <row r="203" spans="4:6" s="3" customFormat="1">
      <c r="D203" s="4"/>
      <c r="E203" s="4"/>
      <c r="F203" s="4"/>
    </row>
    <row r="204" spans="4:6" s="3" customFormat="1">
      <c r="D204" s="4"/>
      <c r="E204" s="4"/>
      <c r="F204" s="4"/>
    </row>
    <row r="205" spans="4:6" s="3" customFormat="1">
      <c r="D205" s="4"/>
      <c r="E205" s="4"/>
      <c r="F205" s="4"/>
    </row>
    <row r="206" spans="4:6" s="3" customFormat="1">
      <c r="D206" s="4"/>
      <c r="E206" s="4"/>
      <c r="F206" s="4"/>
    </row>
  </sheetData>
  <mergeCells count="5">
    <mergeCell ref="A30:A42"/>
    <mergeCell ref="A17:A29"/>
    <mergeCell ref="A4:A16"/>
    <mergeCell ref="A43:A55"/>
    <mergeCell ref="A56:A68"/>
  </mergeCells>
  <pageMargins left="0.25" right="0.25" top="0.75" bottom="0.75" header="0.3" footer="0.3"/>
  <pageSetup paperSize="9" scale="4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2019-03-11T12:32:35Z</dcterms:modified>
</cp:coreProperties>
</file>