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ThisWorkbook" defaultThemeVersion="124226"/>
  <bookViews>
    <workbookView xWindow="0" yWindow="0" windowWidth="19200" windowHeight="6585"/>
  </bookViews>
  <sheets>
    <sheet name="PAGESAT" sheetId="6" r:id="rId1"/>
    <sheet name="PRANIMET" sheetId="12" r:id="rId2"/>
    <sheet name="L" sheetId="16" state="hidden" r:id="rId3"/>
  </sheets>
  <definedNames>
    <definedName name="_xlnm.Print_Area" localSheetId="0">PAGESAT!$A$1:$V$57</definedName>
    <definedName name="_xlnm.Print_Area" localSheetId="1">PRANIMET!$A$1:$L$82</definedName>
    <definedName name="_xlnm.Print_Titles" localSheetId="0">PAGESAT!$3:$5</definedName>
  </definedNames>
  <calcPr calcId="125725"/>
</workbook>
</file>

<file path=xl/calcChain.xml><?xml version="1.0" encoding="utf-8"?>
<calcChain xmlns="http://schemas.openxmlformats.org/spreadsheetml/2006/main">
  <c r="E76" i="6"/>
  <c r="K76"/>
  <c r="E75"/>
  <c r="H71" i="12"/>
  <c r="H70"/>
  <c r="Q74" i="6"/>
  <c r="F74"/>
  <c r="E74" s="1"/>
  <c r="E73"/>
  <c r="Q73"/>
  <c r="K77"/>
  <c r="K78"/>
  <c r="E72"/>
  <c r="H69" i="12"/>
  <c r="F70" l="1"/>
  <c r="Q72" i="6"/>
  <c r="H67" i="12"/>
  <c r="J69"/>
  <c r="K71" i="6" l="1"/>
  <c r="E71"/>
  <c r="V83"/>
  <c r="U83"/>
  <c r="T83"/>
  <c r="S83"/>
  <c r="R83"/>
  <c r="O83"/>
  <c r="N83"/>
  <c r="M83"/>
  <c r="J83"/>
  <c r="F83"/>
  <c r="B83"/>
  <c r="Q82"/>
  <c r="K82"/>
  <c r="B82"/>
  <c r="Q81"/>
  <c r="P83"/>
  <c r="B81"/>
  <c r="Q80"/>
  <c r="K80"/>
  <c r="D80" s="1"/>
  <c r="B80"/>
  <c r="Q79"/>
  <c r="K79"/>
  <c r="D79" s="1"/>
  <c r="B79"/>
  <c r="Q78"/>
  <c r="D78" s="1"/>
  <c r="B78"/>
  <c r="Q77"/>
  <c r="D77" s="1"/>
  <c r="I83"/>
  <c r="B77"/>
  <c r="Q76"/>
  <c r="B76"/>
  <c r="Q75"/>
  <c r="K75"/>
  <c r="B75"/>
  <c r="K74"/>
  <c r="D74" s="1"/>
  <c r="H83"/>
  <c r="B74"/>
  <c r="K73"/>
  <c r="B73"/>
  <c r="L83"/>
  <c r="K72"/>
  <c r="G83"/>
  <c r="B72"/>
  <c r="Q71"/>
  <c r="B71"/>
  <c r="K81" i="12"/>
  <c r="I81"/>
  <c r="G81"/>
  <c r="E81"/>
  <c r="D81"/>
  <c r="B81"/>
  <c r="C80"/>
  <c r="B80"/>
  <c r="F81"/>
  <c r="B79"/>
  <c r="C78"/>
  <c r="B78"/>
  <c r="C77"/>
  <c r="B77"/>
  <c r="C76"/>
  <c r="B76"/>
  <c r="C75"/>
  <c r="B75"/>
  <c r="B74"/>
  <c r="C73"/>
  <c r="B73"/>
  <c r="C72"/>
  <c r="B72"/>
  <c r="C71"/>
  <c r="B71"/>
  <c r="C70"/>
  <c r="B70"/>
  <c r="J81"/>
  <c r="C69"/>
  <c r="B69"/>
  <c r="H61" i="6"/>
  <c r="G68"/>
  <c r="D76" l="1"/>
  <c r="D82"/>
  <c r="C79"/>
  <c r="C80"/>
  <c r="D75"/>
  <c r="D73"/>
  <c r="C73"/>
  <c r="D71"/>
  <c r="C75"/>
  <c r="C76"/>
  <c r="C77"/>
  <c r="C82"/>
  <c r="Q83"/>
  <c r="C74"/>
  <c r="C78"/>
  <c r="C71"/>
  <c r="K81"/>
  <c r="C79" i="12"/>
  <c r="H81"/>
  <c r="I67" i="6"/>
  <c r="H67"/>
  <c r="E69"/>
  <c r="H66" i="12"/>
  <c r="E68" i="6"/>
  <c r="H65" i="12"/>
  <c r="F66"/>
  <c r="K83" i="6" l="1"/>
  <c r="D81"/>
  <c r="C81"/>
  <c r="C72"/>
  <c r="D72"/>
  <c r="E83"/>
  <c r="P68"/>
  <c r="H64" i="12"/>
  <c r="G67" i="6"/>
  <c r="E67" s="1"/>
  <c r="Q67"/>
  <c r="E66"/>
  <c r="H63" i="12"/>
  <c r="L60"/>
  <c r="H58"/>
  <c r="H62"/>
  <c r="E65" i="6"/>
  <c r="I64"/>
  <c r="H61" i="12"/>
  <c r="C83" i="6" l="1"/>
  <c r="D83"/>
  <c r="E64"/>
  <c r="H60" i="12"/>
  <c r="H59"/>
  <c r="E63" i="6"/>
  <c r="Q62" l="1"/>
  <c r="E62" l="1"/>
  <c r="C59" i="12"/>
  <c r="J59"/>
  <c r="E61" i="6"/>
  <c r="E60"/>
  <c r="Q60"/>
  <c r="G59"/>
  <c r="E59" s="1"/>
  <c r="L59"/>
  <c r="K59" s="1"/>
  <c r="Q59"/>
  <c r="Q61"/>
  <c r="Q63"/>
  <c r="K60"/>
  <c r="K61"/>
  <c r="K62"/>
  <c r="K63"/>
  <c r="K64"/>
  <c r="J56" i="12"/>
  <c r="J68" s="1"/>
  <c r="Q58" i="6"/>
  <c r="V70"/>
  <c r="O70"/>
  <c r="B70"/>
  <c r="Q69"/>
  <c r="K69"/>
  <c r="B69"/>
  <c r="Q68"/>
  <c r="K68"/>
  <c r="B68"/>
  <c r="K67"/>
  <c r="B67"/>
  <c r="Q66"/>
  <c r="K66"/>
  <c r="B66"/>
  <c r="Q65"/>
  <c r="K65"/>
  <c r="B65"/>
  <c r="Q64"/>
  <c r="N70"/>
  <c r="L70"/>
  <c r="B64"/>
  <c r="B63"/>
  <c r="U70"/>
  <c r="M70"/>
  <c r="B62"/>
  <c r="B61"/>
  <c r="T70"/>
  <c r="P70"/>
  <c r="J70"/>
  <c r="I70"/>
  <c r="H70"/>
  <c r="B60"/>
  <c r="F70"/>
  <c r="B59"/>
  <c r="K58"/>
  <c r="E58"/>
  <c r="B58"/>
  <c r="K68" i="12"/>
  <c r="I68"/>
  <c r="H68"/>
  <c r="G68"/>
  <c r="F68"/>
  <c r="E68"/>
  <c r="D68"/>
  <c r="B68"/>
  <c r="C67"/>
  <c r="B67"/>
  <c r="C66"/>
  <c r="B66"/>
  <c r="C65"/>
  <c r="B65"/>
  <c r="C64"/>
  <c r="B64"/>
  <c r="C63"/>
  <c r="B63"/>
  <c r="C62"/>
  <c r="B62"/>
  <c r="C61"/>
  <c r="B61"/>
  <c r="C60"/>
  <c r="B60"/>
  <c r="B59"/>
  <c r="C58"/>
  <c r="B58"/>
  <c r="C57"/>
  <c r="B57"/>
  <c r="L68"/>
  <c r="B56"/>
  <c r="P56" i="6"/>
  <c r="L56"/>
  <c r="O57"/>
  <c r="E56"/>
  <c r="E55"/>
  <c r="Q54"/>
  <c r="J54"/>
  <c r="E54" s="1"/>
  <c r="E53"/>
  <c r="G52"/>
  <c r="S52"/>
  <c r="L52"/>
  <c r="D60" l="1"/>
  <c r="D59"/>
  <c r="D67"/>
  <c r="D66"/>
  <c r="D65"/>
  <c r="D61"/>
  <c r="G70"/>
  <c r="D64"/>
  <c r="C64"/>
  <c r="C63"/>
  <c r="D62"/>
  <c r="S70"/>
  <c r="C62"/>
  <c r="C60"/>
  <c r="C59"/>
  <c r="C61"/>
  <c r="D63"/>
  <c r="C66"/>
  <c r="C68"/>
  <c r="C69"/>
  <c r="C68" i="12"/>
  <c r="C58" i="6"/>
  <c r="D68"/>
  <c r="C67"/>
  <c r="C65"/>
  <c r="Q70"/>
  <c r="R70"/>
  <c r="D58"/>
  <c r="E70"/>
  <c r="D69"/>
  <c r="C56" i="12"/>
  <c r="I52" i="6"/>
  <c r="M52"/>
  <c r="P52"/>
  <c r="J52"/>
  <c r="E52" l="1"/>
  <c r="K70"/>
  <c r="C70" s="1"/>
  <c r="D70"/>
  <c r="L51"/>
  <c r="M51"/>
  <c r="P51" l="1"/>
  <c r="N51"/>
  <c r="E51"/>
  <c r="G47"/>
  <c r="L57"/>
  <c r="N57"/>
  <c r="V57"/>
  <c r="U49"/>
  <c r="U57" s="1"/>
  <c r="J50"/>
  <c r="T50"/>
  <c r="H50"/>
  <c r="M50"/>
  <c r="S50"/>
  <c r="G50"/>
  <c r="P50"/>
  <c r="R50"/>
  <c r="I50"/>
  <c r="F50"/>
  <c r="M49"/>
  <c r="H49"/>
  <c r="G48"/>
  <c r="F48"/>
  <c r="J48"/>
  <c r="H48"/>
  <c r="T48"/>
  <c r="S48"/>
  <c r="R48"/>
  <c r="P47"/>
  <c r="J47"/>
  <c r="I47"/>
  <c r="I57" s="1"/>
  <c r="T47"/>
  <c r="H47"/>
  <c r="F46"/>
  <c r="T57" l="1"/>
  <c r="P57"/>
  <c r="H57"/>
  <c r="M57"/>
  <c r="E46"/>
  <c r="F57"/>
  <c r="J57"/>
  <c r="E50"/>
  <c r="Q50"/>
  <c r="E47"/>
  <c r="E48"/>
  <c r="E49"/>
  <c r="K46"/>
  <c r="S46"/>
  <c r="S57" s="1"/>
  <c r="R46"/>
  <c r="R57" s="1"/>
  <c r="G57"/>
  <c r="F43"/>
  <c r="M43"/>
  <c r="K43" s="1"/>
  <c r="L43"/>
  <c r="B57"/>
  <c r="Q56"/>
  <c r="K56"/>
  <c r="B56"/>
  <c r="Q55"/>
  <c r="B55"/>
  <c r="K54"/>
  <c r="D54" s="1"/>
  <c r="B54"/>
  <c r="Q53"/>
  <c r="K53"/>
  <c r="B53"/>
  <c r="Q52"/>
  <c r="K52"/>
  <c r="B52"/>
  <c r="Q51"/>
  <c r="K51"/>
  <c r="B51"/>
  <c r="K50"/>
  <c r="B50"/>
  <c r="Q49"/>
  <c r="K49"/>
  <c r="B49"/>
  <c r="Q48"/>
  <c r="K48"/>
  <c r="B48"/>
  <c r="Q47"/>
  <c r="K47"/>
  <c r="B47"/>
  <c r="B46"/>
  <c r="Q45"/>
  <c r="K45"/>
  <c r="B45"/>
  <c r="L55" i="12"/>
  <c r="G55"/>
  <c r="J55"/>
  <c r="H55"/>
  <c r="E55"/>
  <c r="D55"/>
  <c r="B55"/>
  <c r="B54"/>
  <c r="K55"/>
  <c r="I55"/>
  <c r="F55"/>
  <c r="B53"/>
  <c r="B52"/>
  <c r="B51"/>
  <c r="B50"/>
  <c r="B49"/>
  <c r="B48"/>
  <c r="B47"/>
  <c r="B46"/>
  <c r="B45"/>
  <c r="B44"/>
  <c r="B43"/>
  <c r="T43" i="6"/>
  <c r="Q43" s="1"/>
  <c r="D48" l="1"/>
  <c r="C48"/>
  <c r="C52"/>
  <c r="E45"/>
  <c r="C45" s="1"/>
  <c r="C49"/>
  <c r="D49"/>
  <c r="D47"/>
  <c r="D52"/>
  <c r="C50"/>
  <c r="C51"/>
  <c r="C53"/>
  <c r="D51"/>
  <c r="C47"/>
  <c r="C54"/>
  <c r="C56"/>
  <c r="D50"/>
  <c r="D56"/>
  <c r="Q46"/>
  <c r="C46" s="1"/>
  <c r="D53"/>
  <c r="K55"/>
  <c r="D55" s="1"/>
  <c r="C55" i="12"/>
  <c r="L42" i="6"/>
  <c r="Q42"/>
  <c r="K40"/>
  <c r="K41"/>
  <c r="K42"/>
  <c r="F40" i="12"/>
  <c r="G36"/>
  <c r="G21"/>
  <c r="G9"/>
  <c r="K40"/>
  <c r="I40"/>
  <c r="H17" i="6"/>
  <c r="E17" s="1"/>
  <c r="G30"/>
  <c r="L17"/>
  <c r="K7"/>
  <c r="K8"/>
  <c r="K9"/>
  <c r="K10"/>
  <c r="K11"/>
  <c r="K12"/>
  <c r="K13"/>
  <c r="K14"/>
  <c r="K15"/>
  <c r="K16"/>
  <c r="K6"/>
  <c r="E10"/>
  <c r="E11"/>
  <c r="E12"/>
  <c r="E14"/>
  <c r="E15"/>
  <c r="E6"/>
  <c r="F30"/>
  <c r="J30"/>
  <c r="M30"/>
  <c r="S30"/>
  <c r="T31"/>
  <c r="U31"/>
  <c r="V31"/>
  <c r="S31"/>
  <c r="P17"/>
  <c r="K17" s="1"/>
  <c r="D45" l="1"/>
  <c r="K57"/>
  <c r="Q57"/>
  <c r="E57"/>
  <c r="D46"/>
  <c r="D57" s="1"/>
  <c r="C55"/>
  <c r="K18"/>
  <c r="J16"/>
  <c r="J18" s="1"/>
  <c r="H16"/>
  <c r="H18" s="1"/>
  <c r="F13"/>
  <c r="E13" s="1"/>
  <c r="F7"/>
  <c r="E7" s="1"/>
  <c r="F8"/>
  <c r="E8" s="1"/>
  <c r="F9"/>
  <c r="E9" s="1"/>
  <c r="F29"/>
  <c r="E29" s="1"/>
  <c r="G18"/>
  <c r="I18"/>
  <c r="L18"/>
  <c r="M18"/>
  <c r="N18"/>
  <c r="O18"/>
  <c r="P18"/>
  <c r="R18"/>
  <c r="S18"/>
  <c r="T18"/>
  <c r="U18"/>
  <c r="V18"/>
  <c r="O31"/>
  <c r="L24"/>
  <c r="L26"/>
  <c r="K26" s="1"/>
  <c r="E26"/>
  <c r="L28"/>
  <c r="K28" s="1"/>
  <c r="F28"/>
  <c r="E28" s="1"/>
  <c r="E30"/>
  <c r="L22"/>
  <c r="K22" s="1"/>
  <c r="E22"/>
  <c r="E19"/>
  <c r="R30"/>
  <c r="R29"/>
  <c r="R28"/>
  <c r="Q28" s="1"/>
  <c r="R27"/>
  <c r="Q27" s="1"/>
  <c r="R26"/>
  <c r="Q26" s="1"/>
  <c r="R25"/>
  <c r="R24"/>
  <c r="Q24" s="1"/>
  <c r="R23"/>
  <c r="Q23" s="1"/>
  <c r="R22"/>
  <c r="R21"/>
  <c r="R20"/>
  <c r="Q20" s="1"/>
  <c r="R19"/>
  <c r="E20"/>
  <c r="E21"/>
  <c r="E23"/>
  <c r="E24"/>
  <c r="E25"/>
  <c r="E27"/>
  <c r="M31"/>
  <c r="N31"/>
  <c r="P31"/>
  <c r="Q21"/>
  <c r="Q22"/>
  <c r="Q25"/>
  <c r="Q29"/>
  <c r="Q30"/>
  <c r="K19"/>
  <c r="K20"/>
  <c r="K21"/>
  <c r="D21" s="1"/>
  <c r="K23"/>
  <c r="K25"/>
  <c r="K27"/>
  <c r="K29"/>
  <c r="K30"/>
  <c r="E35"/>
  <c r="E36"/>
  <c r="E37"/>
  <c r="E38"/>
  <c r="E39"/>
  <c r="E40"/>
  <c r="E41"/>
  <c r="E42"/>
  <c r="D42" s="1"/>
  <c r="E43"/>
  <c r="D43" s="1"/>
  <c r="E32"/>
  <c r="E33"/>
  <c r="E34"/>
  <c r="K39"/>
  <c r="V41"/>
  <c r="T41"/>
  <c r="T39"/>
  <c r="T38"/>
  <c r="T37"/>
  <c r="T36"/>
  <c r="T35"/>
  <c r="T34"/>
  <c r="T33"/>
  <c r="S41"/>
  <c r="S40"/>
  <c r="S39"/>
  <c r="S38"/>
  <c r="S37"/>
  <c r="S36"/>
  <c r="S35"/>
  <c r="S34"/>
  <c r="S33"/>
  <c r="R41"/>
  <c r="R40"/>
  <c r="R39"/>
  <c r="R38"/>
  <c r="R37"/>
  <c r="R36"/>
  <c r="R35"/>
  <c r="R34"/>
  <c r="R33"/>
  <c r="R32"/>
  <c r="L11" i="12"/>
  <c r="H15"/>
  <c r="L15" s="1"/>
  <c r="H12"/>
  <c r="H9"/>
  <c r="E11"/>
  <c r="E9"/>
  <c r="L9" s="1"/>
  <c r="E8"/>
  <c r="L8" s="1"/>
  <c r="E7"/>
  <c r="L7" s="1"/>
  <c r="G15"/>
  <c r="G14"/>
  <c r="L14" s="1"/>
  <c r="G12"/>
  <c r="L12" s="1"/>
  <c r="G11"/>
  <c r="G10"/>
  <c r="L10" s="1"/>
  <c r="G8"/>
  <c r="G7"/>
  <c r="G6"/>
  <c r="L6" s="1"/>
  <c r="G5"/>
  <c r="L5" s="1"/>
  <c r="G4"/>
  <c r="L4" s="1"/>
  <c r="I16"/>
  <c r="I7"/>
  <c r="J9"/>
  <c r="C57" i="6" l="1"/>
  <c r="D23"/>
  <c r="D28"/>
  <c r="D25"/>
  <c r="D20"/>
  <c r="D22"/>
  <c r="F18"/>
  <c r="D26"/>
  <c r="E16"/>
  <c r="G13" i="12"/>
  <c r="L13" s="1"/>
  <c r="R31" i="6"/>
  <c r="D30"/>
  <c r="D27"/>
  <c r="D29"/>
  <c r="L31"/>
  <c r="K24"/>
  <c r="K31" s="1"/>
  <c r="Q19"/>
  <c r="Q31" s="1"/>
  <c r="Q40"/>
  <c r="D40" s="1"/>
  <c r="Q41"/>
  <c r="D41" s="1"/>
  <c r="H42" i="12"/>
  <c r="F16"/>
  <c r="H16"/>
  <c r="H19"/>
  <c r="D24" i="6" l="1"/>
  <c r="D19"/>
  <c r="G16" i="12"/>
  <c r="F29"/>
  <c r="G28"/>
  <c r="G27"/>
  <c r="L27" s="1"/>
  <c r="G26"/>
  <c r="L26" s="1"/>
  <c r="G25"/>
  <c r="G24"/>
  <c r="L24" s="1"/>
  <c r="G23"/>
  <c r="L23" s="1"/>
  <c r="G22"/>
  <c r="L21" s="1"/>
  <c r="G20"/>
  <c r="L20" s="1"/>
  <c r="G19"/>
  <c r="G18" s="1"/>
  <c r="H28"/>
  <c r="H25"/>
  <c r="H22"/>
  <c r="H29" l="1"/>
  <c r="L25"/>
  <c r="L28"/>
  <c r="G17"/>
  <c r="L22"/>
  <c r="G29" l="1"/>
  <c r="L17"/>
  <c r="I19"/>
  <c r="I18"/>
  <c r="D18"/>
  <c r="J19"/>
  <c r="I42"/>
  <c r="J42"/>
  <c r="K42"/>
  <c r="F42"/>
  <c r="G39"/>
  <c r="L39" s="1"/>
  <c r="C39" s="1"/>
  <c r="G38"/>
  <c r="G37"/>
  <c r="L37" s="1"/>
  <c r="G35"/>
  <c r="L35" s="1"/>
  <c r="G34"/>
  <c r="L34" s="1"/>
  <c r="G33"/>
  <c r="L33" s="1"/>
  <c r="G32"/>
  <c r="L32" s="1"/>
  <c r="G31"/>
  <c r="L31" s="1"/>
  <c r="G30"/>
  <c r="L30" s="1"/>
  <c r="C41"/>
  <c r="C40"/>
  <c r="C43" i="6"/>
  <c r="C42"/>
  <c r="C41"/>
  <c r="C40"/>
  <c r="V44"/>
  <c r="U44"/>
  <c r="T44"/>
  <c r="S44"/>
  <c r="R44"/>
  <c r="Q39"/>
  <c r="D39" s="1"/>
  <c r="Q38"/>
  <c r="Q37"/>
  <c r="Q36"/>
  <c r="Q35"/>
  <c r="Q34"/>
  <c r="Q33"/>
  <c r="Q32"/>
  <c r="Q17"/>
  <c r="D17" s="1"/>
  <c r="Q16"/>
  <c r="D16" s="1"/>
  <c r="Q15"/>
  <c r="D15" s="1"/>
  <c r="Q14"/>
  <c r="D14" s="1"/>
  <c r="Q13"/>
  <c r="D13" s="1"/>
  <c r="Q12"/>
  <c r="D12" s="1"/>
  <c r="Q11"/>
  <c r="D11" s="1"/>
  <c r="Q10"/>
  <c r="D10" s="1"/>
  <c r="Q9"/>
  <c r="D9" s="1"/>
  <c r="Q8"/>
  <c r="D8" s="1"/>
  <c r="Q7"/>
  <c r="D7" s="1"/>
  <c r="Q6"/>
  <c r="D6" s="1"/>
  <c r="P44"/>
  <c r="O44"/>
  <c r="N44"/>
  <c r="M44"/>
  <c r="L44"/>
  <c r="K38"/>
  <c r="D38" s="1"/>
  <c r="K37"/>
  <c r="D37" s="1"/>
  <c r="K36"/>
  <c r="D36" s="1"/>
  <c r="K35"/>
  <c r="D35" s="1"/>
  <c r="K34"/>
  <c r="D34" s="1"/>
  <c r="K33"/>
  <c r="D33" s="1"/>
  <c r="K32"/>
  <c r="D32" s="1"/>
  <c r="D44" l="1"/>
  <c r="Q18"/>
  <c r="L18" i="12"/>
  <c r="L36"/>
  <c r="L19"/>
  <c r="L38"/>
  <c r="C38" s="1"/>
  <c r="I29"/>
  <c r="Q44" i="6"/>
  <c r="K44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G42" i="12" l="1"/>
  <c r="D42"/>
  <c r="L42" l="1"/>
  <c r="E42"/>
  <c r="C42" l="1"/>
  <c r="C37"/>
  <c r="F44" i="6" l="1"/>
  <c r="G44"/>
  <c r="H44"/>
  <c r="I44"/>
  <c r="J44"/>
  <c r="E44" l="1"/>
  <c r="C44" s="1"/>
  <c r="C39" l="1"/>
  <c r="C36" i="12" l="1"/>
  <c r="C38" i="6"/>
  <c r="C37" l="1"/>
  <c r="C35" i="12"/>
  <c r="C33" l="1"/>
  <c r="C34"/>
  <c r="C36" i="6" l="1"/>
  <c r="C35" l="1"/>
  <c r="C32" i="12" l="1"/>
  <c r="C34" i="6" l="1"/>
  <c r="C30" i="12"/>
  <c r="C31" l="1"/>
  <c r="B42" l="1"/>
  <c r="B41"/>
  <c r="B40"/>
  <c r="B39"/>
  <c r="B38"/>
  <c r="B37"/>
  <c r="B36"/>
  <c r="B35"/>
  <c r="B34"/>
  <c r="B33"/>
  <c r="B32"/>
  <c r="B31"/>
  <c r="B30"/>
  <c r="C21" i="6"/>
  <c r="C32" l="1"/>
  <c r="C33"/>
  <c r="C20"/>
  <c r="C22"/>
  <c r="C23"/>
  <c r="C24"/>
  <c r="C26"/>
  <c r="C28"/>
  <c r="C29"/>
  <c r="C19"/>
  <c r="C25" l="1"/>
  <c r="C30"/>
  <c r="J31" l="1"/>
  <c r="L29" i="12"/>
  <c r="K29"/>
  <c r="J29"/>
  <c r="D29"/>
  <c r="C27"/>
  <c r="C28" l="1"/>
  <c r="C25"/>
  <c r="E29"/>
  <c r="C29" l="1"/>
  <c r="L16"/>
  <c r="K16"/>
  <c r="J16"/>
  <c r="C4"/>
  <c r="E16"/>
  <c r="D16"/>
  <c r="C16" l="1"/>
  <c r="C18" l="1"/>
  <c r="C19"/>
  <c r="C20"/>
  <c r="C21"/>
  <c r="C22"/>
  <c r="C23"/>
  <c r="C24"/>
  <c r="C26"/>
  <c r="C17"/>
  <c r="I31" i="6"/>
  <c r="H31"/>
  <c r="G31"/>
  <c r="B29" i="12" l="1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 l="1"/>
  <c r="C3"/>
  <c r="D3"/>
  <c r="A3"/>
  <c r="A1"/>
  <c r="E5" i="6"/>
  <c r="F5"/>
  <c r="G5"/>
  <c r="H5"/>
  <c r="I5"/>
  <c r="J5"/>
  <c r="D5"/>
  <c r="C5"/>
  <c r="A1" l="1"/>
  <c r="C15" i="12" l="1"/>
  <c r="C14"/>
  <c r="C13"/>
  <c r="C12"/>
  <c r="C11"/>
  <c r="C10"/>
  <c r="C9"/>
  <c r="C8"/>
  <c r="C7"/>
  <c r="C6"/>
  <c r="C5"/>
  <c r="F31" i="6"/>
  <c r="C6"/>
  <c r="C7" l="1"/>
  <c r="C8"/>
  <c r="C17"/>
  <c r="C16"/>
  <c r="C15"/>
  <c r="C14"/>
  <c r="C12"/>
  <c r="C11"/>
  <c r="C10"/>
  <c r="C9"/>
  <c r="C13"/>
  <c r="E18"/>
  <c r="C18" s="1"/>
  <c r="E31"/>
  <c r="D31" l="1"/>
  <c r="D18"/>
  <c r="C27"/>
  <c r="C31"/>
  <c r="L81" i="12"/>
  <c r="C81" s="1"/>
  <c r="C74"/>
</calcChain>
</file>

<file path=xl/comments1.xml><?xml version="1.0" encoding="utf-8"?>
<comments xmlns="http://schemas.openxmlformats.org/spreadsheetml/2006/main">
  <authors>
    <author>Hajrije Haxhijaj</author>
  </authors>
  <commentList>
    <comment ref="H9" authorId="0">
      <text>
        <r>
          <rPr>
            <sz val="9"/>
            <color indexed="81"/>
            <rFont val="Tahoma"/>
            <family val="2"/>
          </rPr>
          <t xml:space="preserve">gjoba nga gjykata janar qershor 143000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gjobat nga gjykata korrik-shtator ne shume 54,730.0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 xml:space="preserve">gjobat nga gjykata tetor-dhjetor ne shume prej 61,857.52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sz val="9"/>
            <color indexed="81"/>
            <rFont val="Tahoma"/>
            <family val="2"/>
          </rPr>
          <t xml:space="preserve">gjobat nga gjykata per periudhen janar-mars me shumë prej 72,289.00
</t>
        </r>
      </text>
    </comment>
    <comment ref="H22" authorId="0">
      <text>
        <r>
          <rPr>
            <sz val="9"/>
            <color indexed="81"/>
            <rFont val="Tahoma"/>
            <family val="2"/>
          </rPr>
          <t xml:space="preserve">gjobat nga gjykata per periudhe prill-qershor ne shumë prej 63,975
</t>
        </r>
      </text>
    </comment>
    <comment ref="H25" authorId="0">
      <text>
        <r>
          <rPr>
            <b/>
            <sz val="9"/>
            <color indexed="81"/>
            <rFont val="Tahoma"/>
            <family val="2"/>
          </rPr>
          <t xml:space="preserve">gjobat nga gjykata 
korrik-shtator , ne shumë prej 73331.5
</t>
        </r>
      </text>
    </comment>
    <comment ref="H28" authorId="0">
      <text>
        <r>
          <rPr>
            <sz val="9"/>
            <color indexed="81"/>
            <rFont val="Tahoma"/>
            <family val="2"/>
          </rPr>
          <t xml:space="preserve">gjobat ne trafik tetor-dhjetor ne shume prej 94,352.50
</t>
        </r>
      </text>
    </comment>
    <comment ref="H32" authorId="0">
      <text>
        <r>
          <rPr>
            <sz val="9"/>
            <color indexed="81"/>
            <rFont val="Tahoma"/>
            <family val="2"/>
          </rPr>
          <t xml:space="preserve">gjobat nga gjykata janar-mars ne shumë prej 88,540
</t>
        </r>
      </text>
    </comment>
    <comment ref="H35" authorId="0">
      <text>
        <r>
          <rPr>
            <sz val="9"/>
            <color indexed="81"/>
            <rFont val="Tahoma"/>
            <family val="2"/>
          </rPr>
          <t xml:space="preserve">gjobat nga gjykata korrik-shtator ne shumë prej 89,380
</t>
        </r>
      </text>
    </comment>
    <comment ref="H38" authorId="0">
      <text>
        <r>
          <rPr>
            <b/>
            <sz val="9"/>
            <color indexed="81"/>
            <rFont val="Tahoma"/>
            <family val="2"/>
          </rPr>
          <t xml:space="preserve">gjobat nga gjykata korrik-shtator ne shumë prej 77,725
</t>
        </r>
      </text>
    </comment>
    <comment ref="H41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NGA GJYKATA         35,858.00 EURO </t>
        </r>
      </text>
    </comment>
    <comment ref="H45" authorId="0">
      <text>
        <r>
          <rPr>
            <sz val="9"/>
            <color indexed="81"/>
            <rFont val="Tahoma"/>
            <family val="2"/>
          </rPr>
          <t xml:space="preserve">gjobat nga gjykata janar-mars ne shumë prej 88,540
</t>
        </r>
      </text>
    </comment>
    <comment ref="H48" authorId="0">
      <text>
        <r>
          <rPr>
            <sz val="9"/>
            <color indexed="81"/>
            <rFont val="Tahoma"/>
            <family val="2"/>
          </rPr>
          <t xml:space="preserve">gjobat nga gjykata korrik-shtator ne shumë prej 24205 dhe gjobat ne trafik 41536
</t>
        </r>
      </text>
    </comment>
    <comment ref="H51" authorId="0">
      <text>
        <r>
          <rPr>
            <b/>
            <sz val="9"/>
            <color indexed="81"/>
            <rFont val="Tahoma"/>
            <family val="2"/>
          </rPr>
          <t xml:space="preserve">gjobat nga gjykata korrik-shtator ne shumë prej 25180
</t>
        </r>
      </text>
    </comment>
    <comment ref="H54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NGA GJYKATA         35,858.00 EURO </t>
        </r>
      </text>
    </comment>
    <comment ref="H58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ne trafik 71787,gjoba nga gjykata JANAR-MARS 16780.0
</t>
        </r>
      </text>
    </comment>
    <comment ref="H59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NGA GJYKATA 3,035.00</t>
        </r>
      </text>
    </comment>
    <comment ref="H60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NGA GJYKATA 3,360
</t>
        </r>
      </text>
    </comment>
    <comment ref="H61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ne trafik 53970 dhe gjykata 2625
</t>
        </r>
      </text>
    </comment>
    <comment ref="H62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nga gjyka 3,485.00 dhe gjoba ne trafik 67133.5
</t>
        </r>
      </text>
    </comment>
    <comment ref="H63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6060.euro janë gjoba nga gjykata , 69,345.00 gjoba ne trafik</t>
        </r>
      </text>
    </comment>
    <comment ref="H64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nga gjykat 2950, shuma prej 55,242. gjoba ne trafik</t>
        </r>
      </text>
    </comment>
    <comment ref="H65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65866 € GJOBA ne trafik, 5155.00 gjoba nga gjykata </t>
        </r>
      </text>
    </comment>
    <comment ref="H66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nga gjykat 4,385.00
gjoba ne trafik 57,571
</t>
        </r>
      </text>
    </comment>
    <comment ref="H67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nga trafiku 51973, 
gjoba nga gjykat 3960
</t>
        </r>
      </text>
    </comment>
    <comment ref="H69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53816.5 gjoba ne trafik  , 6390.00 gjoba nga gjykat a</t>
        </r>
      </text>
    </comment>
    <comment ref="H70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ne trafik 58562.5
gjobat nga gjykata 5100
</t>
        </r>
      </text>
    </comment>
    <comment ref="H71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ne trafik 36641,,gjoba nga gjykata 1900
</t>
        </r>
      </text>
    </comment>
    <comment ref="H72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NGA GJYKATA 3,035.00</t>
        </r>
      </text>
    </comment>
    <comment ref="H73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NGA GJYKATA 3,360
</t>
        </r>
      </text>
    </comment>
    <comment ref="H74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ne trafik 53970 dhe gjykata 2625
</t>
        </r>
      </text>
    </comment>
    <comment ref="H75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nga gjyka 3,485.00 dhe gjoba ne trafik 67133.5
</t>
        </r>
      </text>
    </comment>
    <comment ref="H76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6060.euro janë gjoba nga gjykata , 69,345.00 gjoba ne trafik</t>
        </r>
      </text>
    </comment>
    <comment ref="H77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nga gjykat 2950, shuma prej 55,242. gjoba ne trafik</t>
        </r>
      </text>
    </comment>
    <comment ref="H78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65866 € GJOBA ne trafik, 5155.00 gjoba nga gjykata </t>
        </r>
      </text>
    </comment>
    <comment ref="H79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nga gjykat 4,385.00
gjoba ne trafik 57,571
</t>
        </r>
      </text>
    </comment>
    <comment ref="H80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nga trafiku 51973, 
gjoba nga gjykat 3960
</t>
        </r>
      </text>
    </comment>
  </commentList>
</comments>
</file>

<file path=xl/sharedStrings.xml><?xml version="1.0" encoding="utf-8"?>
<sst xmlns="http://schemas.openxmlformats.org/spreadsheetml/2006/main" count="952" uniqueCount="879">
  <si>
    <t>Paga</t>
  </si>
  <si>
    <t>Qeveria Qendrore</t>
  </si>
  <si>
    <t>Qeveria Lokale</t>
  </si>
  <si>
    <t>Kryegjëja</t>
  </si>
  <si>
    <t>Interesi</t>
  </si>
  <si>
    <t>Gjithsej 2010</t>
  </si>
  <si>
    <t>Gjithsej 2009</t>
  </si>
  <si>
    <t>Gjithsej 2008</t>
  </si>
  <si>
    <t>Gjithsej 2007</t>
  </si>
  <si>
    <t>Gjithsej 2006</t>
  </si>
  <si>
    <t>Tatimet direkte</t>
  </si>
  <si>
    <t xml:space="preserve">Tatimi në pronë </t>
  </si>
  <si>
    <t>Tatimet tjera direkte</t>
  </si>
  <si>
    <t>Tatimet indirekte</t>
  </si>
  <si>
    <t>TVSH-ja</t>
  </si>
  <si>
    <t>Detyrimi Doganor</t>
  </si>
  <si>
    <t xml:space="preserve">Akcizat </t>
  </si>
  <si>
    <t>Tatimet tjera indirekte</t>
  </si>
  <si>
    <t>Kthimet tatimore</t>
  </si>
  <si>
    <t>Dividenda</t>
  </si>
  <si>
    <t>Të hyrat e dedikuara</t>
  </si>
  <si>
    <t>Subvencione dhe Transfere</t>
  </si>
  <si>
    <t>Subvencione</t>
  </si>
  <si>
    <t>Tantiema</t>
  </si>
  <si>
    <t>Tatimi në të ardhura të koorporatave</t>
  </si>
  <si>
    <t>Tatimi në të ardhura personale</t>
  </si>
  <si>
    <t>Taksa ngarkesa dhe tjera nga Qeveria Qendrore</t>
  </si>
  <si>
    <t>Taksa ngarkesa dhe tjera nga Qeveria Lokale</t>
  </si>
  <si>
    <t>Taksa Koncesionare</t>
  </si>
  <si>
    <t>Grantet për përkrahje të buxhetit</t>
  </si>
  <si>
    <t>Huazimet e brendëshme shtetërore</t>
  </si>
  <si>
    <t>Kthimi i kredive nga Ndërmarrjet Publike</t>
  </si>
  <si>
    <t>Mallra dhe shërbime</t>
  </si>
  <si>
    <t>Shpenzime komunale</t>
  </si>
  <si>
    <t>Transfere Sociale</t>
  </si>
  <si>
    <t>Shpenzime Kapitale</t>
  </si>
  <si>
    <t>Antarësimi në IFN</t>
  </si>
  <si>
    <t>Mallëra dhe shërbime</t>
  </si>
  <si>
    <t>Pagesat për financim</t>
  </si>
  <si>
    <t>Viti / Muaji</t>
  </si>
  <si>
    <t>2006 Janar</t>
  </si>
  <si>
    <t>2006 Shkurt</t>
  </si>
  <si>
    <t xml:space="preserve">2006 Mars </t>
  </si>
  <si>
    <t>2006 Prill</t>
  </si>
  <si>
    <t>2006 Maj</t>
  </si>
  <si>
    <t>2006 Qershor</t>
  </si>
  <si>
    <t>2006 Korrik</t>
  </si>
  <si>
    <t>2006 Gusht</t>
  </si>
  <si>
    <t>2006 Shtator</t>
  </si>
  <si>
    <t>2006 Tetor</t>
  </si>
  <si>
    <t xml:space="preserve">2006 Nëntor </t>
  </si>
  <si>
    <t>2007 Janar</t>
  </si>
  <si>
    <t>2007 Shkurt</t>
  </si>
  <si>
    <t xml:space="preserve">2007 Mars </t>
  </si>
  <si>
    <t>2007 Prill</t>
  </si>
  <si>
    <t>2007 Maj</t>
  </si>
  <si>
    <t>2007 Qershor</t>
  </si>
  <si>
    <t>2007 Korrik</t>
  </si>
  <si>
    <t>2007 Gusht</t>
  </si>
  <si>
    <t>2007 Shtator</t>
  </si>
  <si>
    <t>2007 Tetor</t>
  </si>
  <si>
    <t xml:space="preserve">2007 Nëntor </t>
  </si>
  <si>
    <t>2007 Dhjetor</t>
  </si>
  <si>
    <t>2008 Janar</t>
  </si>
  <si>
    <t>2008 Shkurt</t>
  </si>
  <si>
    <t xml:space="preserve">2008 Mars </t>
  </si>
  <si>
    <t>2008 Prill</t>
  </si>
  <si>
    <t>2008 Maj</t>
  </si>
  <si>
    <t>2008 Qershor</t>
  </si>
  <si>
    <t>2008 Korrik</t>
  </si>
  <si>
    <t>2008 Gusht</t>
  </si>
  <si>
    <t>2008 Shtator</t>
  </si>
  <si>
    <t>2008 Tetor</t>
  </si>
  <si>
    <t xml:space="preserve">2008 Nëntor </t>
  </si>
  <si>
    <t>2008 Dhjetor</t>
  </si>
  <si>
    <t>2009 Janar</t>
  </si>
  <si>
    <t>2009 Shkurt</t>
  </si>
  <si>
    <t xml:space="preserve">2009 Mars </t>
  </si>
  <si>
    <t>2009 Prill</t>
  </si>
  <si>
    <t>2009 Maj</t>
  </si>
  <si>
    <t>2009 Qershor</t>
  </si>
  <si>
    <t>2009 Korrik</t>
  </si>
  <si>
    <t>2009 Gusht</t>
  </si>
  <si>
    <t>2009 Shtator</t>
  </si>
  <si>
    <t>2009 Tetor</t>
  </si>
  <si>
    <t xml:space="preserve">2009 Nëntor </t>
  </si>
  <si>
    <t>2009 Dhjetor</t>
  </si>
  <si>
    <t>2010 Janar</t>
  </si>
  <si>
    <t>2010 Shkurt</t>
  </si>
  <si>
    <t xml:space="preserve">2010 Mars </t>
  </si>
  <si>
    <t>2010 Prill</t>
  </si>
  <si>
    <t>2010 Maj</t>
  </si>
  <si>
    <t>2010 Qershor</t>
  </si>
  <si>
    <t>2010 Korrik</t>
  </si>
  <si>
    <t>2010 Gusht</t>
  </si>
  <si>
    <t>2010 Shtator</t>
  </si>
  <si>
    <t>2010 Tetor</t>
  </si>
  <si>
    <t xml:space="preserve">2010 Nëntor </t>
  </si>
  <si>
    <t>2010 Dhjetor</t>
  </si>
  <si>
    <t>2011 Janar</t>
  </si>
  <si>
    <t>2011 Shkurt</t>
  </si>
  <si>
    <t xml:space="preserve">2011 Mars </t>
  </si>
  <si>
    <t>2011 Prill</t>
  </si>
  <si>
    <t>2011 Maj</t>
  </si>
  <si>
    <t>2011 Qershor</t>
  </si>
  <si>
    <t>2011 Korrik</t>
  </si>
  <si>
    <t>2011 Gusht</t>
  </si>
  <si>
    <t>2011 Shtator</t>
  </si>
  <si>
    <t>2011 Tetor</t>
  </si>
  <si>
    <t xml:space="preserve">2011 Nëntor </t>
  </si>
  <si>
    <t>2011 Dhjetor</t>
  </si>
  <si>
    <t>2012 Janar</t>
  </si>
  <si>
    <t>2012 Shkurt</t>
  </si>
  <si>
    <t xml:space="preserve">2012 Mars </t>
  </si>
  <si>
    <t>2012 Prill</t>
  </si>
  <si>
    <t>2012 Maj</t>
  </si>
  <si>
    <t>2012 Qershor</t>
  </si>
  <si>
    <t>2012 Korrik</t>
  </si>
  <si>
    <t>2012 Gusht</t>
  </si>
  <si>
    <t>2012 Shtator</t>
  </si>
  <si>
    <t>2012 Tetor</t>
  </si>
  <si>
    <t xml:space="preserve">2012 Nëntor </t>
  </si>
  <si>
    <t>2012 Dhjetor</t>
  </si>
  <si>
    <t>2013 Janar</t>
  </si>
  <si>
    <t>2013 Shkurt</t>
  </si>
  <si>
    <t xml:space="preserve">2013 Mars </t>
  </si>
  <si>
    <t>2013 Prill</t>
  </si>
  <si>
    <t>2013 Maj</t>
  </si>
  <si>
    <t>2013 Qershor</t>
  </si>
  <si>
    <t>2013 Korrik</t>
  </si>
  <si>
    <t>2013 Gusht</t>
  </si>
  <si>
    <t>2013 Shtator</t>
  </si>
  <si>
    <t>2013 Tetor</t>
  </si>
  <si>
    <t xml:space="preserve">2013 Nëntor </t>
  </si>
  <si>
    <t>2013 Dhjetor</t>
  </si>
  <si>
    <t>2014 Janar</t>
  </si>
  <si>
    <t>2014 Shkurt</t>
  </si>
  <si>
    <t xml:space="preserve">2014 Mars </t>
  </si>
  <si>
    <t>2014 Prill</t>
  </si>
  <si>
    <t>2014 Maj</t>
  </si>
  <si>
    <t>2014 Qershor</t>
  </si>
  <si>
    <t>2014 Korrik</t>
  </si>
  <si>
    <t>2014 Gusht</t>
  </si>
  <si>
    <t>2014 Shtator</t>
  </si>
  <si>
    <t>2014 Tetor</t>
  </si>
  <si>
    <t xml:space="preserve">2014 Nëntor </t>
  </si>
  <si>
    <t>2014 Dhjetor</t>
  </si>
  <si>
    <t>2015 Janar</t>
  </si>
  <si>
    <t>2015 Shkurt</t>
  </si>
  <si>
    <t xml:space="preserve">2015 Mars </t>
  </si>
  <si>
    <t>2015 Prill</t>
  </si>
  <si>
    <t>2015 Maj</t>
  </si>
  <si>
    <t>2015 Qershor</t>
  </si>
  <si>
    <t>2015 Korrik</t>
  </si>
  <si>
    <t>2015 Gusht</t>
  </si>
  <si>
    <t>2015 Shtator</t>
  </si>
  <si>
    <t>2015 Tetor</t>
  </si>
  <si>
    <t xml:space="preserve">2015 Nëntor </t>
  </si>
  <si>
    <t>2015 Dhjetor</t>
  </si>
  <si>
    <t>2016 Janar</t>
  </si>
  <si>
    <t>2016 Shkurt</t>
  </si>
  <si>
    <t xml:space="preserve">2016 Mars </t>
  </si>
  <si>
    <t>2016 Prill</t>
  </si>
  <si>
    <t>2016 Maj</t>
  </si>
  <si>
    <t>2016 Qershor</t>
  </si>
  <si>
    <t>2016 Korrik</t>
  </si>
  <si>
    <t>2016 Gusht</t>
  </si>
  <si>
    <t>2016 Shtator</t>
  </si>
  <si>
    <t>Huazimet e jashtme shtetërore</t>
  </si>
  <si>
    <t>Shpenzimet</t>
  </si>
  <si>
    <t>Tabela 1: Pagesat</t>
  </si>
  <si>
    <t>Tabela 2: Pranimet</t>
  </si>
  <si>
    <t>Viti</t>
  </si>
  <si>
    <t>Gjithsejt Pagesat</t>
  </si>
  <si>
    <t>Të Hyrat Jo-Tatimore</t>
  </si>
  <si>
    <t>2006 Dhjetor /1</t>
  </si>
  <si>
    <t>TVSH në kufi</t>
  </si>
  <si>
    <t>TVSH e brendshme</t>
  </si>
  <si>
    <t>Pranimet tjera</t>
  </si>
  <si>
    <t>Huadhënia për NP</t>
  </si>
  <si>
    <t>Të hyrat nga Privatizimi</t>
  </si>
  <si>
    <t>Huazimet</t>
  </si>
  <si>
    <t>Pranimet nga Financimi</t>
  </si>
  <si>
    <t>Gjithsej Pranimet</t>
  </si>
  <si>
    <t>Të Hyrat Buxhetore</t>
  </si>
  <si>
    <t>Të Hyrat Tatimore</t>
  </si>
  <si>
    <t>Gjithsej 2012</t>
  </si>
  <si>
    <t>Gjithsej 2011</t>
  </si>
  <si>
    <t>Gjithsej 2013</t>
  </si>
  <si>
    <t>Gjithsej 2016</t>
  </si>
  <si>
    <t>Gjithsej 2015</t>
  </si>
  <si>
    <t>Gjithsej 2014</t>
  </si>
  <si>
    <t>Vlerat janë në Mijëra Euro.</t>
  </si>
  <si>
    <t xml:space="preserve">2016 Nëntor </t>
  </si>
  <si>
    <t>2016 Tetor</t>
  </si>
  <si>
    <t>2016 Dhjetor</t>
  </si>
  <si>
    <t>Tabela 2: Prijemi</t>
  </si>
  <si>
    <t>Iznosi su u hiljadama Evra.</t>
  </si>
  <si>
    <t>Godina</t>
  </si>
  <si>
    <t>Godina / Mesec</t>
  </si>
  <si>
    <t>Ukupni prijemi</t>
  </si>
  <si>
    <t>Budžetski prihodi</t>
  </si>
  <si>
    <t>Primanja od finansiranja</t>
  </si>
  <si>
    <t>Porezni prihodi</t>
  </si>
  <si>
    <t>Neporeski prihodi</t>
  </si>
  <si>
    <t>Ostala primanja</t>
  </si>
  <si>
    <t>Krediti</t>
  </si>
  <si>
    <t>Direktni porezi</t>
  </si>
  <si>
    <t>Indirektni porezi</t>
  </si>
  <si>
    <t>Poreske prijave</t>
  </si>
  <si>
    <t>Takse, naknade i ostale od centralne vlade</t>
  </si>
  <si>
    <t>Takse, naknade i ostale od lokalne vlade</t>
  </si>
  <si>
    <t>Koncesione takse</t>
  </si>
  <si>
    <t>Tantijeme</t>
  </si>
  <si>
    <t>Dividende</t>
  </si>
  <si>
    <t>Namenjeni prihodi</t>
  </si>
  <si>
    <t>Grantovi za podršku budžetu</t>
  </si>
  <si>
    <t>Prihodi od privatizacije</t>
  </si>
  <si>
    <t>Vraćenje kredita od javnih preduzeća</t>
  </si>
  <si>
    <t>Spoljni državni krediti</t>
  </si>
  <si>
    <t>Unutrašnji državni krediti</t>
  </si>
  <si>
    <t>Porez na prihode korporacija</t>
  </si>
  <si>
    <t>Porez na lični dohodak</t>
  </si>
  <si>
    <t xml:space="preserve">Porez na imovinu </t>
  </si>
  <si>
    <t>Ostali direktni porezi</t>
  </si>
  <si>
    <t>PDV</t>
  </si>
  <si>
    <t>Carine</t>
  </si>
  <si>
    <t>Akcize</t>
  </si>
  <si>
    <t>Ostali indirektni porezi</t>
  </si>
  <si>
    <t>Unutrašnji PDV</t>
  </si>
  <si>
    <t>PDV na granici</t>
  </si>
  <si>
    <t>Tabela 1: Plaćanja</t>
  </si>
  <si>
    <t>Ukupno plaćanja</t>
  </si>
  <si>
    <t>Isplate za finansiranje</t>
  </si>
  <si>
    <t>Troškovi</t>
  </si>
  <si>
    <t>Centralna vlada</t>
  </si>
  <si>
    <t>Lokalna vlada</t>
  </si>
  <si>
    <t>Glavnica</t>
  </si>
  <si>
    <t>Kamata</t>
  </si>
  <si>
    <t>Pozajmljivanje za JP</t>
  </si>
  <si>
    <t>Članstvo u MFI</t>
  </si>
  <si>
    <t>Plate</t>
  </si>
  <si>
    <t>Roba i usluge</t>
  </si>
  <si>
    <t>Komunalije</t>
  </si>
  <si>
    <t>Subvencije i transferi</t>
  </si>
  <si>
    <t>Kapitalni troškovi</t>
  </si>
  <si>
    <t>Socijalni transferi</t>
  </si>
  <si>
    <t>Subvencije</t>
  </si>
  <si>
    <t>2006 Januar</t>
  </si>
  <si>
    <t>2006 Februar</t>
  </si>
  <si>
    <t xml:space="preserve">2006 Mart </t>
  </si>
  <si>
    <t>2006 April</t>
  </si>
  <si>
    <t>2006 Juni</t>
  </si>
  <si>
    <t>2006 Juli</t>
  </si>
  <si>
    <t>2006 Avgust</t>
  </si>
  <si>
    <t>2006 Septembar</t>
  </si>
  <si>
    <t>2006 Oktobar</t>
  </si>
  <si>
    <t xml:space="preserve">2006 Novembar </t>
  </si>
  <si>
    <t>2006 Decembar</t>
  </si>
  <si>
    <t>Ukupno 2006</t>
  </si>
  <si>
    <t>2007 Januar</t>
  </si>
  <si>
    <t>2007 Februar</t>
  </si>
  <si>
    <t xml:space="preserve">2007 Mart </t>
  </si>
  <si>
    <t>2007 April</t>
  </si>
  <si>
    <t>2007 Juni</t>
  </si>
  <si>
    <t>2007 Juli</t>
  </si>
  <si>
    <t>2007 Avgust</t>
  </si>
  <si>
    <t>2007 Septembar</t>
  </si>
  <si>
    <t>2007 Oktobar</t>
  </si>
  <si>
    <t xml:space="preserve">2007 Novembar </t>
  </si>
  <si>
    <t>2007 Decembar</t>
  </si>
  <si>
    <t>Ukupno 2007</t>
  </si>
  <si>
    <t>2008 Januar</t>
  </si>
  <si>
    <t>2008 Februar</t>
  </si>
  <si>
    <t xml:space="preserve">2008 Mart </t>
  </si>
  <si>
    <t>2008 April</t>
  </si>
  <si>
    <t>2008 Juni</t>
  </si>
  <si>
    <t>2008 Juli</t>
  </si>
  <si>
    <t>2008 Avgust</t>
  </si>
  <si>
    <t>2008 Septembar</t>
  </si>
  <si>
    <t>2008 Oktobar</t>
  </si>
  <si>
    <t xml:space="preserve">2008 Novembar </t>
  </si>
  <si>
    <t>2008 Decembar</t>
  </si>
  <si>
    <t>Ukupno 2008</t>
  </si>
  <si>
    <t>2009 Januar</t>
  </si>
  <si>
    <t>2009 Februar</t>
  </si>
  <si>
    <t xml:space="preserve">2009 Mart </t>
  </si>
  <si>
    <t>2009 April</t>
  </si>
  <si>
    <t>2009 Juni</t>
  </si>
  <si>
    <t>2009 Juli</t>
  </si>
  <si>
    <t>2009 Avgust</t>
  </si>
  <si>
    <t>2009 Septembar</t>
  </si>
  <si>
    <t>2009 Oktobar</t>
  </si>
  <si>
    <t xml:space="preserve">2009 Novembar </t>
  </si>
  <si>
    <t>2009 Decembar</t>
  </si>
  <si>
    <t>Ukupno 2009</t>
  </si>
  <si>
    <t>2010 Januar</t>
  </si>
  <si>
    <t>2010 Februar</t>
  </si>
  <si>
    <t xml:space="preserve">2010 Mart </t>
  </si>
  <si>
    <t>2010 April</t>
  </si>
  <si>
    <t>2010 Juni</t>
  </si>
  <si>
    <t>2010 Juli</t>
  </si>
  <si>
    <t>2010 Avgust</t>
  </si>
  <si>
    <t>2010 Septembar</t>
  </si>
  <si>
    <t>2010 Oktobar</t>
  </si>
  <si>
    <t xml:space="preserve">2010 Novembar </t>
  </si>
  <si>
    <t>2010 Decembar</t>
  </si>
  <si>
    <t>Ukupno 2010</t>
  </si>
  <si>
    <t>2011 Januar</t>
  </si>
  <si>
    <t>2011 Februar</t>
  </si>
  <si>
    <t xml:space="preserve">2011 Mart </t>
  </si>
  <si>
    <t>2011 April</t>
  </si>
  <si>
    <t>2011 Juni</t>
  </si>
  <si>
    <t>2011 Juli</t>
  </si>
  <si>
    <t>2011 Avgust</t>
  </si>
  <si>
    <t>2011 Septembar</t>
  </si>
  <si>
    <t>2011 Oktobar</t>
  </si>
  <si>
    <t xml:space="preserve">2011 Novembar </t>
  </si>
  <si>
    <t>2011 Decembar</t>
  </si>
  <si>
    <t>Ukupno 2011</t>
  </si>
  <si>
    <t>2012 Januar</t>
  </si>
  <si>
    <t>2012 Februar</t>
  </si>
  <si>
    <t xml:space="preserve">2012 Mart </t>
  </si>
  <si>
    <t>2012 April</t>
  </si>
  <si>
    <t>2012 Juni</t>
  </si>
  <si>
    <t>2012 Juli</t>
  </si>
  <si>
    <t>2012 Avgust</t>
  </si>
  <si>
    <t>2012 Septembar</t>
  </si>
  <si>
    <t>2012 Oktobar</t>
  </si>
  <si>
    <t xml:space="preserve">2012 Novembar </t>
  </si>
  <si>
    <t>2012 Decembar</t>
  </si>
  <si>
    <t>Ukupno 2012</t>
  </si>
  <si>
    <t>2013 Januar</t>
  </si>
  <si>
    <t>2013 Februar</t>
  </si>
  <si>
    <t xml:space="preserve">2013 Mart </t>
  </si>
  <si>
    <t>2013 April</t>
  </si>
  <si>
    <t>2013 Juni</t>
  </si>
  <si>
    <t>2013 Juli</t>
  </si>
  <si>
    <t>2013 Avgust</t>
  </si>
  <si>
    <t>2013 Septembar</t>
  </si>
  <si>
    <t>2013 Oktobar</t>
  </si>
  <si>
    <t xml:space="preserve">2013 Novembar </t>
  </si>
  <si>
    <t>2013 Decembar</t>
  </si>
  <si>
    <t>Ukupno 2013</t>
  </si>
  <si>
    <t>2014 Januar</t>
  </si>
  <si>
    <t>2014 Februar</t>
  </si>
  <si>
    <t xml:space="preserve">2014 Mart </t>
  </si>
  <si>
    <t>2014 April</t>
  </si>
  <si>
    <t>2014 Juni</t>
  </si>
  <si>
    <t>2014 Juli</t>
  </si>
  <si>
    <t>2014 Avgust</t>
  </si>
  <si>
    <t>2014 Septembar</t>
  </si>
  <si>
    <t>2014 Oktobar</t>
  </si>
  <si>
    <t xml:space="preserve">2014 Novembar </t>
  </si>
  <si>
    <t>2014 Decembar</t>
  </si>
  <si>
    <t>Ukupno 2014</t>
  </si>
  <si>
    <t>2015 Januar</t>
  </si>
  <si>
    <t>2015 Februar</t>
  </si>
  <si>
    <t xml:space="preserve">2015 Mart </t>
  </si>
  <si>
    <t>2015 April</t>
  </si>
  <si>
    <t>2015 Juni</t>
  </si>
  <si>
    <t>2015 Juli</t>
  </si>
  <si>
    <t>2015 Avgust</t>
  </si>
  <si>
    <t>2015 Septembar</t>
  </si>
  <si>
    <t>2015 Oktobar</t>
  </si>
  <si>
    <t xml:space="preserve">2015 Novembar </t>
  </si>
  <si>
    <t>2015 Decembar</t>
  </si>
  <si>
    <t>Ukupno 2015</t>
  </si>
  <si>
    <t>2016 Januar</t>
  </si>
  <si>
    <t>2016 Februar</t>
  </si>
  <si>
    <t xml:space="preserve">2016 Mart </t>
  </si>
  <si>
    <t>2016 April</t>
  </si>
  <si>
    <t>2016 Juni</t>
  </si>
  <si>
    <t>2016 Juli</t>
  </si>
  <si>
    <t>2016 Avgust</t>
  </si>
  <si>
    <t>2016 Septembar</t>
  </si>
  <si>
    <t>2016 Oktobar</t>
  </si>
  <si>
    <t xml:space="preserve">2016 Novembar </t>
  </si>
  <si>
    <t>2016 Decembar</t>
  </si>
  <si>
    <t>Ukupno 2016</t>
  </si>
  <si>
    <t>Table 1: Payments</t>
  </si>
  <si>
    <t>Values are in Thousand Euros.</t>
  </si>
  <si>
    <t>Year</t>
  </si>
  <si>
    <t>Year/Month</t>
  </si>
  <si>
    <t>Total Payments</t>
  </si>
  <si>
    <t>Financing</t>
  </si>
  <si>
    <t>Budget Expenditures</t>
  </si>
  <si>
    <t>Central Government</t>
  </si>
  <si>
    <t>Local Government</t>
  </si>
  <si>
    <t>Principal</t>
  </si>
  <si>
    <t>Interest</t>
  </si>
  <si>
    <t>Loans for PU</t>
  </si>
  <si>
    <t>IFI Membership</t>
  </si>
  <si>
    <t>Wages and Salaries</t>
  </si>
  <si>
    <t>Goods and Services</t>
  </si>
  <si>
    <t>Utilities</t>
  </si>
  <si>
    <t>Subventions and Transfers</t>
  </si>
  <si>
    <t>Capital Investments</t>
  </si>
  <si>
    <t>Social Transfers</t>
  </si>
  <si>
    <t>Subventions</t>
  </si>
  <si>
    <t>Table 2: Receipts</t>
  </si>
  <si>
    <t>Values are in Thousands Euros</t>
  </si>
  <si>
    <t>Year / Month</t>
  </si>
  <si>
    <t>Total Receipts</t>
  </si>
  <si>
    <t>Budget Revenues</t>
  </si>
  <si>
    <t>Receipts from Financing</t>
  </si>
  <si>
    <t>Tax Revenues</t>
  </si>
  <si>
    <t>Non-Tax Revenues</t>
  </si>
  <si>
    <t>Other Revenues</t>
  </si>
  <si>
    <t>Loans</t>
  </si>
  <si>
    <t>Direct Taxes</t>
  </si>
  <si>
    <t>Indirect Taxes</t>
  </si>
  <si>
    <t>Tax Returns</t>
  </si>
  <si>
    <t>Fees, Charges and others from Central Government</t>
  </si>
  <si>
    <t>Fees, Charges and others from Local Government</t>
  </si>
  <si>
    <t>Concessionary Fee</t>
  </si>
  <si>
    <t>Royalties</t>
  </si>
  <si>
    <t>Dividends</t>
  </si>
  <si>
    <t>Didecated Revenues</t>
  </si>
  <si>
    <t>Budget Support Grants</t>
  </si>
  <si>
    <t>Revenues form Liquidation</t>
  </si>
  <si>
    <t>Return of Loans from PU</t>
  </si>
  <si>
    <t>External State Loans</t>
  </si>
  <si>
    <t>Internal state Loans</t>
  </si>
  <si>
    <t>Corporate Income Tax</t>
  </si>
  <si>
    <t>Personal Income Tax</t>
  </si>
  <si>
    <t>Property Tax</t>
  </si>
  <si>
    <t>Other Direct Taxes</t>
  </si>
  <si>
    <t>VAT</t>
  </si>
  <si>
    <t>Custom Duties</t>
  </si>
  <si>
    <t>Excise</t>
  </si>
  <si>
    <t>Other indirect taxes</t>
  </si>
  <si>
    <t>In Country VAT</t>
  </si>
  <si>
    <t>Border VAT</t>
  </si>
  <si>
    <t>2006 January</t>
  </si>
  <si>
    <t>2006 February</t>
  </si>
  <si>
    <t>2006 March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</si>
  <si>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</si>
  <si>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</si>
  <si>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</si>
  <si>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</si>
  <si>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</si>
  <si>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</si>
  <si>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</si>
  <si>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</si>
  <si>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2006 Total</t>
  </si>
  <si>
    <t>2007 January</t>
  </si>
  <si>
    <t>2007 February</t>
  </si>
  <si>
    <t>2007 March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</si>
  <si>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</si>
  <si>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</si>
  <si>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</si>
  <si>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</si>
  <si>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</si>
  <si>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</si>
  <si>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</si>
  <si>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</si>
  <si>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2007 Total</t>
  </si>
  <si>
    <t>2008 January</t>
  </si>
  <si>
    <t>2008 February</t>
  </si>
  <si>
    <t>2008 March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</si>
  <si>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</si>
  <si>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</si>
  <si>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</si>
  <si>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</si>
  <si>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</si>
  <si>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</si>
  <si>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</si>
  <si>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</si>
  <si>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2008 Total</t>
  </si>
  <si>
    <t>2009 January</t>
  </si>
  <si>
    <t>2009 February</t>
  </si>
  <si>
    <t>2009 March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</si>
  <si>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</si>
  <si>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</si>
  <si>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</si>
  <si>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</si>
  <si>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</si>
  <si>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</si>
  <si>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</si>
  <si>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</si>
  <si>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2009 Total</t>
  </si>
  <si>
    <t>2010 January</t>
  </si>
  <si>
    <t>2010 February</t>
  </si>
  <si>
    <t>2010 March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</si>
  <si>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</si>
  <si>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</si>
  <si>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</si>
  <si>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</si>
  <si>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</si>
  <si>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</si>
  <si>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</si>
  <si>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</si>
  <si>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2010 Total</t>
  </si>
  <si>
    <t>2011 January</t>
  </si>
  <si>
    <t>2011 February</t>
  </si>
  <si>
    <t>2011 March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</si>
  <si>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</si>
  <si>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</si>
  <si>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</si>
  <si>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</si>
  <si>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</si>
  <si>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</si>
  <si>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</si>
  <si>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</si>
  <si>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2011 Total</t>
  </si>
  <si>
    <t>2012 January</t>
  </si>
  <si>
    <t>2012 February</t>
  </si>
  <si>
    <t>2012 March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</si>
  <si>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</si>
  <si>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</si>
  <si>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</si>
  <si>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</si>
  <si>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</si>
  <si>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</si>
  <si>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</si>
  <si>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</si>
  <si>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2012 Total</t>
  </si>
  <si>
    <t>2013 January</t>
  </si>
  <si>
    <t>2013 February</t>
  </si>
  <si>
    <t>2013 March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</si>
  <si>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</si>
  <si>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</si>
  <si>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</si>
  <si>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</si>
  <si>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</si>
  <si>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</si>
  <si>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</si>
  <si>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</si>
  <si>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2013 Total</t>
  </si>
  <si>
    <t>2014 January</t>
  </si>
  <si>
    <t>2014 February</t>
  </si>
  <si>
    <t>2014 March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</si>
  <si>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</si>
  <si>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</si>
  <si>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</si>
  <si>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</si>
  <si>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</si>
  <si>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</si>
  <si>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</si>
  <si>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</si>
  <si>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2014 Total</t>
  </si>
  <si>
    <t>2015 January</t>
  </si>
  <si>
    <t>2015 February</t>
  </si>
  <si>
    <t>2015 March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</si>
  <si>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</si>
  <si>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</si>
  <si>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</si>
  <si>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</si>
  <si>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</si>
  <si>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</si>
  <si>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</si>
  <si>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</si>
  <si>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2015 Total</t>
  </si>
  <si>
    <t>2016 January</t>
  </si>
  <si>
    <t>2016 February</t>
  </si>
  <si>
    <t>2016 March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</si>
  <si>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</si>
  <si>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</si>
  <si>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</si>
  <si>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</si>
  <si>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</si>
  <si>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</si>
  <si>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</si>
  <si>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</si>
  <si>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2016 Total</t>
  </si>
  <si>
    <t>Shqip</t>
  </si>
  <si>
    <t>English</t>
  </si>
  <si>
    <t>Srpski</t>
  </si>
  <si>
    <t>2017 Janar</t>
  </si>
  <si>
    <t>2017 Januar</t>
  </si>
  <si>
    <t>2017 January</t>
  </si>
  <si>
    <t>2017 Shkurt</t>
  </si>
  <si>
    <t>2017 Februar</t>
  </si>
  <si>
    <t>2017 February</t>
  </si>
  <si>
    <t xml:space="preserve">2017 Mars </t>
  </si>
  <si>
    <t xml:space="preserve">2017 Mart </t>
  </si>
  <si>
    <t>2017 March</t>
  </si>
  <si>
    <t>2017 Prill</t>
  </si>
  <si>
    <t>2017 April</t>
  </si>
  <si>
    <t>2017 Maj</t>
  </si>
  <si>
    <t>2017 May</t>
  </si>
  <si>
    <t>2017 Qershor</t>
  </si>
  <si>
    <t>2017 Juni</t>
  </si>
  <si>
    <t>2017 June</t>
  </si>
  <si>
    <t>2017 Korrik</t>
  </si>
  <si>
    <t>2017 Juli</t>
  </si>
  <si>
    <t>2017 July</t>
  </si>
  <si>
    <t>2017 Gusht</t>
  </si>
  <si>
    <t>2017 Avgust</t>
  </si>
  <si>
    <t>2017 August</t>
  </si>
  <si>
    <t>2017 Shtator</t>
  </si>
  <si>
    <t>2017 Septembar</t>
  </si>
  <si>
    <t>2017 September</t>
  </si>
  <si>
    <t>2017 Tetor</t>
  </si>
  <si>
    <t>2017 Oktobar</t>
  </si>
  <si>
    <t>2017 October</t>
  </si>
  <si>
    <t xml:space="preserve">2017 Nëntor </t>
  </si>
  <si>
    <t xml:space="preserve">2017 Novembar </t>
  </si>
  <si>
    <t>2017 November</t>
  </si>
  <si>
    <t>2017 Dhjetor</t>
  </si>
  <si>
    <t>2017 Decembar</t>
  </si>
  <si>
    <t>2017 December</t>
  </si>
  <si>
    <t>2017 Total</t>
  </si>
  <si>
    <t>Gjithsej 2017</t>
  </si>
  <si>
    <t>Ukupno 2017</t>
  </si>
  <si>
    <t>Gjithsej 2018</t>
  </si>
  <si>
    <t>Ukupno 2018</t>
  </si>
  <si>
    <t>2018 Total</t>
  </si>
  <si>
    <t>Zgjedhni gjuhën: Izaberite jezik:     Select language:</t>
  </si>
  <si>
    <t>Français</t>
  </si>
  <si>
    <t>Türk</t>
  </si>
  <si>
    <t>2018 Janar</t>
  </si>
  <si>
    <t>2018 Januar</t>
  </si>
  <si>
    <t>2018 January</t>
  </si>
  <si>
    <t>2018 Shkurt</t>
  </si>
  <si>
    <t>2018 Februar</t>
  </si>
  <si>
    <t>2018 February</t>
  </si>
  <si>
    <t xml:space="preserve">2018 Mars </t>
  </si>
  <si>
    <t xml:space="preserve">2018 Mart </t>
  </si>
  <si>
    <t>2018 March</t>
  </si>
  <si>
    <t>2018 Prill</t>
  </si>
  <si>
    <t>2018 April</t>
  </si>
  <si>
    <t>2018 Maj</t>
  </si>
  <si>
    <t>2018 May</t>
  </si>
  <si>
    <t>2018 Qershor</t>
  </si>
  <si>
    <t>2018 Juni</t>
  </si>
  <si>
    <t>2018 June</t>
  </si>
  <si>
    <t>2018 Korrik</t>
  </si>
  <si>
    <t>2018 Juli</t>
  </si>
  <si>
    <t>2018 July</t>
  </si>
  <si>
    <t>2018 Gusht</t>
  </si>
  <si>
    <t>2018 Avgust</t>
  </si>
  <si>
    <t>2018 August</t>
  </si>
  <si>
    <t>2018 Shtator</t>
  </si>
  <si>
    <t>2018 Septembar</t>
  </si>
  <si>
    <t>2018 September</t>
  </si>
  <si>
    <t>2018 Tetor</t>
  </si>
  <si>
    <t>2018 Oktobar</t>
  </si>
  <si>
    <t>2018 October</t>
  </si>
  <si>
    <t xml:space="preserve">2018 Nëntor </t>
  </si>
  <si>
    <t xml:space="preserve">2018 Novembar </t>
  </si>
  <si>
    <t>2018 November</t>
  </si>
  <si>
    <t>2018 Dhjetor</t>
  </si>
  <si>
    <t>2018 Decembar</t>
  </si>
  <si>
    <t>2018 December</t>
  </si>
  <si>
    <t>Gjithsej 2020</t>
  </si>
  <si>
    <t>2020 Janar</t>
  </si>
  <si>
    <t>2020 Januar</t>
  </si>
  <si>
    <t>2020 January</t>
  </si>
  <si>
    <t>2020 Shkurt</t>
  </si>
  <si>
    <t>2020 Februar</t>
  </si>
  <si>
    <t>2020 February</t>
  </si>
  <si>
    <t xml:space="preserve">2020 Mars </t>
  </si>
  <si>
    <t xml:space="preserve">2020 Mart </t>
  </si>
  <si>
    <t>2020 March</t>
  </si>
  <si>
    <t>2020 Prill</t>
  </si>
  <si>
    <t>2020 April</t>
  </si>
  <si>
    <t>2020 Maj</t>
  </si>
  <si>
    <t>2020 May</t>
  </si>
  <si>
    <t>2020 Qershor</t>
  </si>
  <si>
    <t>2020 Juni</t>
  </si>
  <si>
    <t>2020 June</t>
  </si>
  <si>
    <t>2020 Korrik</t>
  </si>
  <si>
    <t>2020 Juli</t>
  </si>
  <si>
    <t>2020 July</t>
  </si>
  <si>
    <t>2020 Gusht</t>
  </si>
  <si>
    <t>2020 Avgust</t>
  </si>
  <si>
    <t>2020 August</t>
  </si>
  <si>
    <t>2020 Shtator</t>
  </si>
  <si>
    <t>2020 Septembar</t>
  </si>
  <si>
    <t>2020 September</t>
  </si>
  <si>
    <t>2020 Tetor</t>
  </si>
  <si>
    <t>2020 Oktobar</t>
  </si>
  <si>
    <t>2020 October</t>
  </si>
  <si>
    <t xml:space="preserve">2020 Nëntor </t>
  </si>
  <si>
    <t xml:space="preserve">2020 Novembar </t>
  </si>
  <si>
    <t>2020 November</t>
  </si>
  <si>
    <t>2020 Dhjetor</t>
  </si>
  <si>
    <t>2020 Decembar</t>
  </si>
  <si>
    <t>2020 December</t>
  </si>
  <si>
    <t>Ukupno 2020</t>
  </si>
  <si>
    <t>2020 Total</t>
  </si>
  <si>
    <t>Gjithsej 2021</t>
  </si>
  <si>
    <t>2021 Janar</t>
  </si>
  <si>
    <t>2021 Januar</t>
  </si>
  <si>
    <t>2021 January</t>
  </si>
  <si>
    <t>2021 Shkurt</t>
  </si>
  <si>
    <t>2021 Februar</t>
  </si>
  <si>
    <t>2021 February</t>
  </si>
  <si>
    <t xml:space="preserve">2021 Mars </t>
  </si>
  <si>
    <t xml:space="preserve">2021 Mart </t>
  </si>
  <si>
    <t>2021 March</t>
  </si>
  <si>
    <t>2021 Prill</t>
  </si>
  <si>
    <t>2021 April</t>
  </si>
  <si>
    <t>2021 Maj</t>
  </si>
  <si>
    <t>2021 May</t>
  </si>
  <si>
    <t>2021 Qershor</t>
  </si>
  <si>
    <t>2021 Juni</t>
  </si>
  <si>
    <t>2021 June</t>
  </si>
  <si>
    <t>2021 Korrik</t>
  </si>
  <si>
    <t>2021 Juli</t>
  </si>
  <si>
    <t>2021 July</t>
  </si>
  <si>
    <t>2021 Gusht</t>
  </si>
  <si>
    <t>2021 Avgust</t>
  </si>
  <si>
    <t>2021 August</t>
  </si>
  <si>
    <t>2021 Shtator</t>
  </si>
  <si>
    <t>2021 Septembar</t>
  </si>
  <si>
    <t>2021 September</t>
  </si>
  <si>
    <t>2021 Tetor</t>
  </si>
  <si>
    <t>2021 Oktobar</t>
  </si>
  <si>
    <t>2021 October</t>
  </si>
  <si>
    <t xml:space="preserve">2021 Nëntor </t>
  </si>
  <si>
    <t xml:space="preserve">2021 Novembar </t>
  </si>
  <si>
    <t>2021 November</t>
  </si>
  <si>
    <t>2021 Dhjetor</t>
  </si>
  <si>
    <t>2021 Decembar</t>
  </si>
  <si>
    <t>2021 December</t>
  </si>
  <si>
    <t>Ukupno 2021</t>
  </si>
  <si>
    <t>2021 Total</t>
  </si>
  <si>
    <t>Gjithsej 2022</t>
  </si>
  <si>
    <t>2022 Janar</t>
  </si>
  <si>
    <t>2022 Januar</t>
  </si>
  <si>
    <t>2022 January</t>
  </si>
  <si>
    <t>2022 Shkurt</t>
  </si>
  <si>
    <t>2022 Februar</t>
  </si>
  <si>
    <t>2022 February</t>
  </si>
  <si>
    <t xml:space="preserve">2022 Mars </t>
  </si>
  <si>
    <t xml:space="preserve">2022 Mart </t>
  </si>
  <si>
    <t>2022 March</t>
  </si>
  <si>
    <t>2022 Prill</t>
  </si>
  <si>
    <t>2022 April</t>
  </si>
  <si>
    <t>2022 Maj</t>
  </si>
  <si>
    <t>2022 May</t>
  </si>
  <si>
    <t>2022 Qershor</t>
  </si>
  <si>
    <t>2022 Juni</t>
  </si>
  <si>
    <t>2022 June</t>
  </si>
  <si>
    <t>2022 Korrik</t>
  </si>
  <si>
    <t>2022 Juli</t>
  </si>
  <si>
    <t>2022 July</t>
  </si>
  <si>
    <t>2022 Gusht</t>
  </si>
  <si>
    <t>2022 Avgust</t>
  </si>
  <si>
    <t>2022 August</t>
  </si>
  <si>
    <t>2022 Shtator</t>
  </si>
  <si>
    <t>2022 Septembar</t>
  </si>
  <si>
    <t>2022 September</t>
  </si>
  <si>
    <t>2022 Tetor</t>
  </si>
  <si>
    <t>2022 Oktobar</t>
  </si>
  <si>
    <t>2022 October</t>
  </si>
  <si>
    <t xml:space="preserve">2022 Nëntor </t>
  </si>
  <si>
    <t xml:space="preserve">2022 Novembar </t>
  </si>
  <si>
    <t>2022 November</t>
  </si>
  <si>
    <t>2022 Dhjetor</t>
  </si>
  <si>
    <t>2022 Decembar</t>
  </si>
  <si>
    <t>2022 December</t>
  </si>
  <si>
    <t>Ukupno 2022</t>
  </si>
  <si>
    <t>2022 Total</t>
  </si>
  <si>
    <t>Gjithsej 2023</t>
  </si>
  <si>
    <t>2023 Janar</t>
  </si>
  <si>
    <t>2023 Januar</t>
  </si>
  <si>
    <t>2023 January</t>
  </si>
  <si>
    <t>2023 Shkurt</t>
  </si>
  <si>
    <t>2023 Februar</t>
  </si>
  <si>
    <t>2023 February</t>
  </si>
  <si>
    <t xml:space="preserve">2023 Mars </t>
  </si>
  <si>
    <t xml:space="preserve">2023 Mart </t>
  </si>
  <si>
    <t>2023 March</t>
  </si>
  <si>
    <t>2023 Prill</t>
  </si>
  <si>
    <t>2023 April</t>
  </si>
  <si>
    <t>2023 Maj</t>
  </si>
  <si>
    <t>2023 May</t>
  </si>
  <si>
    <t>2023 Qershor</t>
  </si>
  <si>
    <t>2023 Juni</t>
  </si>
  <si>
    <t>2023 June</t>
  </si>
  <si>
    <t>2023 Korrik</t>
  </si>
  <si>
    <t>2023 Juli</t>
  </si>
  <si>
    <t>2023 July</t>
  </si>
  <si>
    <t>2023 Gusht</t>
  </si>
  <si>
    <t>2023 Avgust</t>
  </si>
  <si>
    <t>2023 August</t>
  </si>
  <si>
    <t>2023 Shtator</t>
  </si>
  <si>
    <t>2023 Septembar</t>
  </si>
  <si>
    <t>2023 September</t>
  </si>
  <si>
    <t>2023 Tetor</t>
  </si>
  <si>
    <t>2023 Oktobar</t>
  </si>
  <si>
    <t>2023 October</t>
  </si>
  <si>
    <t xml:space="preserve">2023 Nëntor </t>
  </si>
  <si>
    <t xml:space="preserve">2023 Novembar </t>
  </si>
  <si>
    <t>2023 November</t>
  </si>
  <si>
    <t>2023 Dhjetor</t>
  </si>
  <si>
    <t>2023 Decembar</t>
  </si>
  <si>
    <t>2023 December</t>
  </si>
  <si>
    <t>Ukupno 2023</t>
  </si>
  <si>
    <t>2023 Total</t>
  </si>
  <si>
    <t>Gjithsej 2025</t>
  </si>
  <si>
    <t>2025 Janar</t>
  </si>
  <si>
    <t>2025 Januar</t>
  </si>
  <si>
    <t>2025 January</t>
  </si>
  <si>
    <t>2025 Shkurt</t>
  </si>
  <si>
    <t>2025 Februar</t>
  </si>
  <si>
    <t>2025 February</t>
  </si>
  <si>
    <t xml:space="preserve">2025 Mars </t>
  </si>
  <si>
    <t xml:space="preserve">2025 Mart </t>
  </si>
  <si>
    <t>2025 March</t>
  </si>
  <si>
    <t>2025 Prill</t>
  </si>
  <si>
    <t>2025 April</t>
  </si>
  <si>
    <t>2025 Maj</t>
  </si>
  <si>
    <t>2025 May</t>
  </si>
  <si>
    <t>2025 Qershor</t>
  </si>
  <si>
    <t>2025 Juni</t>
  </si>
  <si>
    <t>2025 June</t>
  </si>
  <si>
    <t>2025 Korrik</t>
  </si>
  <si>
    <t>2025 Juli</t>
  </si>
  <si>
    <t>2025 July</t>
  </si>
  <si>
    <t>2025 Gusht</t>
  </si>
  <si>
    <t>2025 Avgust</t>
  </si>
  <si>
    <t>2025 August</t>
  </si>
  <si>
    <t>2025 Shtator</t>
  </si>
  <si>
    <t>2025 Septembar</t>
  </si>
  <si>
    <t>2025 September</t>
  </si>
  <si>
    <t>2025 Tetor</t>
  </si>
  <si>
    <t>2025 Oktobar</t>
  </si>
  <si>
    <t>2025 October</t>
  </si>
  <si>
    <t xml:space="preserve">2025 Nëntor </t>
  </si>
  <si>
    <t xml:space="preserve">2025 Novembar </t>
  </si>
  <si>
    <t>2025 November</t>
  </si>
  <si>
    <t>2025 Dhjetor</t>
  </si>
  <si>
    <t>2025 Decembar</t>
  </si>
  <si>
    <t>2025 December</t>
  </si>
  <si>
    <t>Ukupno 2025</t>
  </si>
  <si>
    <t>2025 Total</t>
  </si>
  <si>
    <t>2019 Janar</t>
  </si>
  <si>
    <t>2019 Januar</t>
  </si>
  <si>
    <t>2019 January</t>
  </si>
  <si>
    <t>2019 Shkurt</t>
  </si>
  <si>
    <t>2019 Februar</t>
  </si>
  <si>
    <t>2019 February</t>
  </si>
  <si>
    <t xml:space="preserve">2019 Mars </t>
  </si>
  <si>
    <t xml:space="preserve">2019 Mart </t>
  </si>
  <si>
    <t>2019 March</t>
  </si>
  <si>
    <t>2019 Prill</t>
  </si>
  <si>
    <t>2019 April</t>
  </si>
  <si>
    <t>2019 Maj</t>
  </si>
  <si>
    <t>2019 May</t>
  </si>
  <si>
    <t>2019 Qershor</t>
  </si>
  <si>
    <t>2019 Juni</t>
  </si>
  <si>
    <t>2019 June</t>
  </si>
  <si>
    <t>2019 Korrik</t>
  </si>
  <si>
    <t>2019 Juli</t>
  </si>
  <si>
    <t>2019 July</t>
  </si>
  <si>
    <t>2019 Gusht</t>
  </si>
  <si>
    <t>2019 Avgust</t>
  </si>
  <si>
    <t>2019 August</t>
  </si>
  <si>
    <t>2019 Shtator</t>
  </si>
  <si>
    <t>2019 Septembar</t>
  </si>
  <si>
    <t>2019 September</t>
  </si>
  <si>
    <t>2019 Tetor</t>
  </si>
  <si>
    <t>2019 Oktobar</t>
  </si>
  <si>
    <t>2019 October</t>
  </si>
  <si>
    <t xml:space="preserve">2019 Nëntor </t>
  </si>
  <si>
    <t xml:space="preserve">2019 Novembar </t>
  </si>
  <si>
    <t>2019 November</t>
  </si>
  <si>
    <t>2019 Dhjetor</t>
  </si>
  <si>
    <t>2019 Decembar</t>
  </si>
  <si>
    <t>2019 December</t>
  </si>
  <si>
    <t>Gjithsej 2019</t>
  </si>
  <si>
    <t>Ukupno 2019</t>
  </si>
  <si>
    <t>2019 Total</t>
  </si>
  <si>
    <t>Arsimi</t>
  </si>
  <si>
    <t>Shëndetësia</t>
  </si>
  <si>
    <t>Taksa për Leje Ndërtimi</t>
  </si>
  <si>
    <t>Taksa për çertifikata dhe dokumente</t>
  </si>
  <si>
    <t>Taksa për automjete</t>
  </si>
  <si>
    <t>Taksa për shfrytëzim të hapësirave publike</t>
  </si>
  <si>
    <t>Participim në Shëndetësi</t>
  </si>
  <si>
    <t>Participim në Arsim</t>
  </si>
  <si>
    <t>Vlerat janë në Euro.</t>
  </si>
  <si>
    <t>Të hyra tjera</t>
  </si>
  <si>
    <t xml:space="preserve">Gjoba ne trafik dhe nga Gjykata 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</si>
</sst>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0\ [$€-1]"/>
    <numFmt numFmtId="167" formatCode="0.00\ \€"/>
    <numFmt numFmtId="168" formatCode="#,##0.00;[Red]#,##0.00"/>
    <numFmt numFmtId="169" formatCode="#,##0.0"/>
    <numFmt numFmtId="170" formatCode="#,##0.0000000000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4"/>
      <name val="Arial"/>
      <family val="2"/>
    </font>
    <font>
      <sz val="9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 Narrow"/>
      <family val="2"/>
    </font>
    <font>
      <sz val="12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Verdana"/>
      <family val="2"/>
    </font>
    <font>
      <b/>
      <sz val="12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color theme="3" tint="-0.249977111117893"/>
      <name val="Arial Narrow"/>
      <family val="2"/>
    </font>
    <font>
      <sz val="9"/>
      <color indexed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theme="1" tint="0.499984740745262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</borders>
  <cellStyleXfs count="20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8" fillId="0" borderId="32" applyBorder="0"/>
    <xf numFmtId="0" fontId="28" fillId="0" borderId="0"/>
    <xf numFmtId="0" fontId="2" fillId="0" borderId="0"/>
    <xf numFmtId="165" fontId="2" fillId="0" borderId="0" applyFont="0" applyFill="0" applyBorder="0" applyAlignment="0" applyProtection="0"/>
  </cellStyleXfs>
  <cellXfs count="32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0" borderId="10" xfId="0" applyFont="1" applyBorder="1"/>
    <xf numFmtId="0" fontId="17" fillId="34" borderId="10" xfId="0" applyFont="1" applyFill="1" applyBorder="1"/>
    <xf numFmtId="0" fontId="0" fillId="0" borderId="23" xfId="0" applyFont="1" applyBorder="1"/>
    <xf numFmtId="0" fontId="0" fillId="0" borderId="11" xfId="0" applyFont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17" fillId="34" borderId="30" xfId="0" applyFont="1" applyFill="1" applyBorder="1"/>
    <xf numFmtId="0" fontId="22" fillId="2" borderId="0" xfId="0" applyFont="1" applyFill="1" applyAlignment="1">
      <alignment vertical="center"/>
    </xf>
    <xf numFmtId="0" fontId="0" fillId="37" borderId="0" xfId="0" applyFill="1"/>
    <xf numFmtId="0" fontId="0" fillId="0" borderId="0" xfId="0" applyFont="1" applyBorder="1"/>
    <xf numFmtId="0" fontId="17" fillId="34" borderId="0" xfId="0" applyFont="1" applyFill="1" applyBorder="1"/>
    <xf numFmtId="0" fontId="22" fillId="36" borderId="0" xfId="0" applyFont="1" applyFill="1" applyBorder="1" applyAlignment="1">
      <alignment horizontal="left" vertical="top"/>
    </xf>
    <xf numFmtId="0" fontId="20" fillId="36" borderId="0" xfId="0" applyFont="1" applyFill="1" applyBorder="1" applyAlignment="1">
      <alignment horizontal="left" vertical="top"/>
    </xf>
    <xf numFmtId="0" fontId="22" fillId="35" borderId="0" xfId="0" applyFont="1" applyFill="1" applyBorder="1" applyAlignment="1">
      <alignment horizontal="left" vertical="top"/>
    </xf>
    <xf numFmtId="0" fontId="20" fillId="35" borderId="0" xfId="0" applyFont="1" applyFill="1" applyBorder="1" applyAlignment="1">
      <alignment horizontal="left" vertical="top"/>
    </xf>
    <xf numFmtId="0" fontId="22" fillId="37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6" borderId="0" xfId="0" applyFont="1" applyFill="1" applyAlignment="1">
      <alignment horizontal="left" vertical="top"/>
    </xf>
    <xf numFmtId="0" fontId="0" fillId="36" borderId="0" xfId="0" applyFill="1" applyAlignment="1">
      <alignment horizontal="left" vertical="top"/>
    </xf>
    <xf numFmtId="0" fontId="0" fillId="36" borderId="0" xfId="0" applyFont="1" applyFill="1" applyBorder="1" applyAlignment="1">
      <alignment horizontal="left" vertical="top"/>
    </xf>
    <xf numFmtId="0" fontId="17" fillId="36" borderId="13" xfId="0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left" vertical="top"/>
    </xf>
    <xf numFmtId="0" fontId="22" fillId="36" borderId="0" xfId="0" applyFont="1" applyFill="1" applyAlignment="1">
      <alignment horizontal="left" vertical="top"/>
    </xf>
    <xf numFmtId="0" fontId="0" fillId="35" borderId="0" xfId="0" applyFont="1" applyFill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18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 horizontal="left" vertical="top"/>
    </xf>
    <xf numFmtId="0" fontId="24" fillId="35" borderId="0" xfId="0" applyFont="1" applyFill="1" applyBorder="1" applyAlignment="1">
      <alignment horizontal="left" vertical="top"/>
    </xf>
    <xf numFmtId="164" fontId="17" fillId="35" borderId="15" xfId="1" applyNumberFormat="1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/>
    </xf>
    <xf numFmtId="0" fontId="17" fillId="35" borderId="20" xfId="0" applyFont="1" applyFill="1" applyBorder="1" applyAlignment="1">
      <alignment horizontal="left" vertical="top" wrapText="1"/>
    </xf>
    <xf numFmtId="0" fontId="17" fillId="35" borderId="26" xfId="0" applyFont="1" applyFill="1" applyBorder="1" applyAlignment="1">
      <alignment horizontal="left" vertical="top" wrapText="1"/>
    </xf>
    <xf numFmtId="0" fontId="17" fillId="35" borderId="27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/>
    </xf>
    <xf numFmtId="0" fontId="22" fillId="35" borderId="0" xfId="0" applyFont="1" applyFill="1" applyAlignment="1">
      <alignment horizontal="left" vertical="top"/>
    </xf>
    <xf numFmtId="0" fontId="17" fillId="35" borderId="20" xfId="0" applyFont="1" applyFill="1" applyBorder="1" applyAlignment="1">
      <alignment horizontal="left" vertical="top"/>
    </xf>
    <xf numFmtId="0" fontId="23" fillId="35" borderId="20" xfId="0" applyFont="1" applyFill="1" applyBorder="1" applyAlignment="1">
      <alignment horizontal="left" vertical="top" wrapText="1"/>
    </xf>
    <xf numFmtId="0" fontId="0" fillId="37" borderId="0" xfId="0" applyFont="1" applyFill="1" applyAlignment="1">
      <alignment horizontal="left" vertical="top"/>
    </xf>
    <xf numFmtId="0" fontId="0" fillId="37" borderId="0" xfId="0" applyFill="1" applyAlignment="1">
      <alignment horizontal="left" vertical="top"/>
    </xf>
    <xf numFmtId="0" fontId="17" fillId="37" borderId="15" xfId="0" applyFont="1" applyFill="1" applyBorder="1" applyAlignment="1">
      <alignment horizontal="left" vertical="top" wrapText="1"/>
    </xf>
    <xf numFmtId="0" fontId="17" fillId="37" borderId="0" xfId="0" applyFont="1" applyFill="1" applyBorder="1" applyAlignment="1">
      <alignment horizontal="left" vertical="top" wrapText="1"/>
    </xf>
    <xf numFmtId="0" fontId="17" fillId="37" borderId="17" xfId="0" applyFont="1" applyFill="1" applyBorder="1" applyAlignment="1">
      <alignment horizontal="left" vertical="top" wrapText="1"/>
    </xf>
    <xf numFmtId="0" fontId="17" fillId="37" borderId="21" xfId="0" applyFont="1" applyFill="1" applyBorder="1" applyAlignment="1">
      <alignment horizontal="left" vertical="top" wrapText="1"/>
    </xf>
    <xf numFmtId="0" fontId="17" fillId="37" borderId="22" xfId="0" applyFont="1" applyFill="1" applyBorder="1" applyAlignment="1">
      <alignment horizontal="left" vertical="top" wrapText="1"/>
    </xf>
    <xf numFmtId="0" fontId="17" fillId="37" borderId="13" xfId="0" applyFont="1" applyFill="1" applyBorder="1" applyAlignment="1">
      <alignment horizontal="left" vertical="top" wrapText="1"/>
    </xf>
    <xf numFmtId="164" fontId="17" fillId="37" borderId="16" xfId="1" applyNumberFormat="1" applyFont="1" applyFill="1" applyBorder="1" applyAlignment="1">
      <alignment horizontal="left" vertical="top" wrapText="1"/>
    </xf>
    <xf numFmtId="0" fontId="17" fillId="37" borderId="20" xfId="0" applyFont="1" applyFill="1" applyBorder="1" applyAlignment="1">
      <alignment horizontal="left" vertical="top" wrapText="1"/>
    </xf>
    <xf numFmtId="0" fontId="17" fillId="37" borderId="19" xfId="0" applyFont="1" applyFill="1" applyBorder="1" applyAlignment="1">
      <alignment horizontal="left" vertical="top" wrapText="1"/>
    </xf>
    <xf numFmtId="0" fontId="17" fillId="37" borderId="14" xfId="0" applyFont="1" applyFill="1" applyBorder="1" applyAlignment="1">
      <alignment horizontal="left" vertical="top" wrapText="1"/>
    </xf>
    <xf numFmtId="0" fontId="17" fillId="37" borderId="25" xfId="0" applyFont="1" applyFill="1" applyBorder="1" applyAlignment="1">
      <alignment horizontal="left" vertical="top" wrapText="1"/>
    </xf>
    <xf numFmtId="0" fontId="22" fillId="37" borderId="0" xfId="0" applyFont="1" applyFill="1" applyAlignment="1">
      <alignment horizontal="left" vertical="top"/>
    </xf>
    <xf numFmtId="0" fontId="0" fillId="37" borderId="18" xfId="0" applyFont="1" applyFill="1" applyBorder="1" applyAlignment="1">
      <alignment horizontal="left" vertical="top"/>
    </xf>
    <xf numFmtId="0" fontId="0" fillId="37" borderId="0" xfId="0" applyFont="1" applyFill="1" applyBorder="1" applyAlignment="1">
      <alignment horizontal="left" vertical="top"/>
    </xf>
    <xf numFmtId="0" fontId="17" fillId="37" borderId="13" xfId="0" applyFont="1" applyFill="1" applyBorder="1" applyAlignment="1">
      <alignment horizontal="left" vertical="top"/>
    </xf>
    <xf numFmtId="164" fontId="17" fillId="37" borderId="13" xfId="1" applyNumberFormat="1" applyFont="1" applyFill="1" applyBorder="1" applyAlignment="1">
      <alignment horizontal="left" vertical="top" wrapText="1"/>
    </xf>
    <xf numFmtId="0" fontId="23" fillId="37" borderId="13" xfId="0" applyFont="1" applyFill="1" applyBorder="1" applyAlignment="1">
      <alignment horizontal="left" vertical="top" wrapText="1"/>
    </xf>
    <xf numFmtId="164" fontId="17" fillId="35" borderId="13" xfId="1" applyNumberFormat="1" applyFont="1" applyFill="1" applyBorder="1" applyAlignment="1">
      <alignment horizontal="left" vertical="top" wrapText="1"/>
    </xf>
    <xf numFmtId="164" fontId="17" fillId="36" borderId="13" xfId="1" applyNumberFormat="1" applyFont="1" applyFill="1" applyBorder="1" applyAlignment="1">
      <alignment horizontal="left" vertical="top" wrapText="1"/>
    </xf>
    <xf numFmtId="0" fontId="23" fillId="36" borderId="13" xfId="0" applyFont="1" applyFill="1" applyBorder="1" applyAlignment="1">
      <alignment horizontal="left" vertical="top" wrapText="1"/>
    </xf>
    <xf numFmtId="164" fontId="17" fillId="37" borderId="0" xfId="1" applyNumberFormat="1" applyFont="1" applyFill="1" applyBorder="1" applyAlignment="1">
      <alignment horizontal="left" vertical="top" wrapText="1"/>
    </xf>
    <xf numFmtId="0" fontId="17" fillId="2" borderId="13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26" fillId="2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0" fillId="0" borderId="0" xfId="0" applyFont="1" applyProtection="1"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2" borderId="18" xfId="0" applyFont="1" applyFill="1" applyBorder="1" applyProtection="1">
      <protection hidden="1"/>
    </xf>
    <xf numFmtId="0" fontId="20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protection hidden="1"/>
    </xf>
    <xf numFmtId="164" fontId="17" fillId="2" borderId="15" xfId="1" applyNumberFormat="1" applyFont="1" applyFill="1" applyBorder="1" applyAlignment="1" applyProtection="1">
      <alignment horizontal="center" wrapText="1"/>
      <protection hidden="1"/>
    </xf>
    <xf numFmtId="0" fontId="17" fillId="2" borderId="20" xfId="0" applyFont="1" applyFill="1" applyBorder="1" applyAlignment="1" applyProtection="1">
      <alignment horizont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1" xfId="0" applyFont="1" applyFill="1" applyBorder="1" applyAlignment="1" applyProtection="1">
      <protection hidden="1"/>
    </xf>
    <xf numFmtId="0" fontId="17" fillId="2" borderId="22" xfId="0" applyFont="1" applyFill="1" applyBorder="1" applyAlignment="1" applyProtection="1">
      <protection hidden="1"/>
    </xf>
    <xf numFmtId="0" fontId="17" fillId="2" borderId="17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10" xfId="0" applyFont="1" applyBorder="1" applyProtection="1">
      <protection hidden="1"/>
    </xf>
    <xf numFmtId="164" fontId="0" fillId="0" borderId="10" xfId="1" applyNumberFormat="1" applyFont="1" applyBorder="1" applyProtection="1">
      <protection hidden="1"/>
    </xf>
    <xf numFmtId="164" fontId="0" fillId="0" borderId="12" xfId="1" applyNumberFormat="1" applyFont="1" applyBorder="1" applyProtection="1">
      <protection hidden="1"/>
    </xf>
    <xf numFmtId="0" fontId="17" fillId="34" borderId="10" xfId="0" applyFont="1" applyFill="1" applyBorder="1" applyProtection="1">
      <protection hidden="1"/>
    </xf>
    <xf numFmtId="164" fontId="17" fillId="34" borderId="10" xfId="1" applyNumberFormat="1" applyFont="1" applyFill="1" applyBorder="1" applyProtection="1">
      <protection hidden="1"/>
    </xf>
    <xf numFmtId="164" fontId="17" fillId="34" borderId="10" xfId="1" applyNumberFormat="1" applyFont="1" applyFill="1" applyBorder="1" applyAlignment="1" applyProtection="1">
      <alignment horizontal="center"/>
      <protection hidden="1"/>
    </xf>
    <xf numFmtId="164" fontId="0" fillId="0" borderId="10" xfId="1" applyNumberFormat="1" applyFont="1" applyFill="1" applyBorder="1" applyProtection="1">
      <protection hidden="1"/>
    </xf>
    <xf numFmtId="0" fontId="17" fillId="34" borderId="30" xfId="0" applyFont="1" applyFill="1" applyBorder="1" applyProtection="1">
      <protection hidden="1"/>
    </xf>
    <xf numFmtId="164" fontId="17" fillId="34" borderId="30" xfId="1" applyNumberFormat="1" applyFont="1" applyFill="1" applyBorder="1" applyProtection="1">
      <protection hidden="1"/>
    </xf>
    <xf numFmtId="164" fontId="17" fillId="34" borderId="30" xfId="1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164" fontId="0" fillId="0" borderId="0" xfId="0" applyNumberFormat="1" applyFont="1" applyProtection="1">
      <protection hidden="1"/>
    </xf>
    <xf numFmtId="164" fontId="0" fillId="0" borderId="12" xfId="1" applyNumberFormat="1" applyFont="1" applyFill="1" applyBorder="1" applyProtection="1">
      <protection hidden="1"/>
    </xf>
    <xf numFmtId="164" fontId="1" fillId="0" borderId="12" xfId="1" applyNumberFormat="1" applyFont="1" applyFill="1" applyBorder="1" applyProtection="1"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17" fillId="2" borderId="13" xfId="0" applyFont="1" applyFill="1" applyBorder="1" applyAlignment="1">
      <alignment horizontal="center" vertical="center"/>
    </xf>
    <xf numFmtId="164" fontId="17" fillId="2" borderId="13" xfId="1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 applyProtection="1">
      <alignment horizontal="left" vertical="center"/>
      <protection hidden="1"/>
    </xf>
    <xf numFmtId="3" fontId="0" fillId="0" borderId="10" xfId="1" applyNumberFormat="1" applyFont="1" applyBorder="1"/>
    <xf numFmtId="3" fontId="29" fillId="38" borderId="10" xfId="1" applyNumberFormat="1" applyFont="1" applyFill="1" applyBorder="1" applyAlignment="1">
      <alignment horizontal="right"/>
    </xf>
    <xf numFmtId="3" fontId="29" fillId="2" borderId="10" xfId="119" applyNumberFormat="1" applyFont="1" applyFill="1" applyBorder="1" applyAlignment="1">
      <alignment horizontal="right"/>
    </xf>
    <xf numFmtId="3" fontId="29" fillId="38" borderId="10" xfId="119" applyNumberFormat="1" applyFont="1" applyFill="1" applyBorder="1" applyAlignment="1">
      <alignment horizontal="right"/>
    </xf>
    <xf numFmtId="3" fontId="29" fillId="2" borderId="10" xfId="0" applyNumberFormat="1" applyFont="1" applyFill="1" applyBorder="1" applyAlignment="1">
      <alignment horizontal="right"/>
    </xf>
    <xf numFmtId="3" fontId="17" fillId="34" borderId="10" xfId="1" applyNumberFormat="1" applyFont="1" applyFill="1" applyBorder="1"/>
    <xf numFmtId="3" fontId="17" fillId="34" borderId="10" xfId="1" applyNumberFormat="1" applyFont="1" applyFill="1" applyBorder="1" applyAlignment="1">
      <alignment horizontal="center"/>
    </xf>
    <xf numFmtId="0" fontId="17" fillId="34" borderId="12" xfId="0" applyFont="1" applyFill="1" applyBorder="1"/>
    <xf numFmtId="3" fontId="0" fillId="0" borderId="10" xfId="1" applyNumberFormat="1" applyFont="1" applyBorder="1" applyAlignment="1">
      <alignment horizontal="right"/>
    </xf>
    <xf numFmtId="3" fontId="21" fillId="0" borderId="10" xfId="1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43" fontId="32" fillId="2" borderId="0" xfId="119" applyFont="1" applyFill="1" applyBorder="1"/>
    <xf numFmtId="43" fontId="33" fillId="2" borderId="0" xfId="139" applyNumberFormat="1" applyFont="1" applyFill="1" applyBorder="1"/>
    <xf numFmtId="43" fontId="32" fillId="0" borderId="0" xfId="119" applyFont="1" applyBorder="1"/>
    <xf numFmtId="43" fontId="0" fillId="2" borderId="0" xfId="0" applyNumberFormat="1" applyFont="1" applyFill="1" applyBorder="1"/>
    <xf numFmtId="4" fontId="0" fillId="0" borderId="35" xfId="1" applyNumberFormat="1" applyFont="1" applyBorder="1" applyProtection="1">
      <protection hidden="1"/>
    </xf>
    <xf numFmtId="4" fontId="0" fillId="0" borderId="10" xfId="1" applyNumberFormat="1" applyFont="1" applyBorder="1" applyProtection="1">
      <protection hidden="1"/>
    </xf>
    <xf numFmtId="4" fontId="0" fillId="0" borderId="10" xfId="1" applyNumberFormat="1" applyFont="1" applyFill="1" applyBorder="1" applyProtection="1">
      <protection hidden="1"/>
    </xf>
    <xf numFmtId="4" fontId="0" fillId="0" borderId="10" xfId="0" applyNumberFormat="1" applyFont="1" applyBorder="1" applyProtection="1">
      <protection hidden="1"/>
    </xf>
    <xf numFmtId="164" fontId="17" fillId="2" borderId="30" xfId="1" applyNumberFormat="1" applyFont="1" applyFill="1" applyBorder="1" applyAlignment="1" applyProtection="1">
      <alignment horizontal="center"/>
      <protection hidden="1"/>
    </xf>
    <xf numFmtId="164" fontId="1" fillId="2" borderId="10" xfId="1" applyNumberFormat="1" applyFont="1" applyFill="1" applyBorder="1" applyAlignment="1" applyProtection="1">
      <alignment horizontal="center"/>
      <protection hidden="1"/>
    </xf>
    <xf numFmtId="164" fontId="1" fillId="2" borderId="30" xfId="1" applyNumberFormat="1" applyFont="1" applyFill="1" applyBorder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4" fontId="24" fillId="0" borderId="10" xfId="1" applyNumberFormat="1" applyFont="1" applyBorder="1" applyProtection="1">
      <protection hidden="1"/>
    </xf>
    <xf numFmtId="4" fontId="24" fillId="0" borderId="0" xfId="0" applyNumberFormat="1" applyFont="1" applyFill="1" applyProtection="1">
      <protection hidden="1"/>
    </xf>
    <xf numFmtId="4" fontId="24" fillId="0" borderId="12" xfId="1" applyNumberFormat="1" applyFont="1" applyBorder="1" applyProtection="1">
      <protection hidden="1"/>
    </xf>
    <xf numFmtId="164" fontId="24" fillId="0" borderId="12" xfId="1" applyNumberFormat="1" applyFont="1" applyFill="1" applyBorder="1" applyProtection="1">
      <protection hidden="1"/>
    </xf>
    <xf numFmtId="3" fontId="0" fillId="0" borderId="10" xfId="1" applyNumberFormat="1" applyFont="1" applyBorder="1" applyProtection="1">
      <protection hidden="1"/>
    </xf>
    <xf numFmtId="3" fontId="0" fillId="0" borderId="10" xfId="0" applyNumberFormat="1" applyFont="1" applyBorder="1" applyProtection="1">
      <protection hidden="1"/>
    </xf>
    <xf numFmtId="4" fontId="34" fillId="0" borderId="25" xfId="0" applyNumberFormat="1" applyFont="1" applyBorder="1"/>
    <xf numFmtId="4" fontId="34" fillId="0" borderId="13" xfId="0" applyNumberFormat="1" applyFont="1" applyBorder="1"/>
    <xf numFmtId="164" fontId="21" fillId="0" borderId="10" xfId="1" applyNumberFormat="1" applyFont="1" applyBorder="1" applyProtection="1">
      <protection hidden="1"/>
    </xf>
    <xf numFmtId="167" fontId="32" fillId="0" borderId="13" xfId="0" applyNumberFormat="1" applyFont="1" applyBorder="1"/>
    <xf numFmtId="168" fontId="29" fillId="2" borderId="36" xfId="1" applyNumberFormat="1" applyFont="1" applyFill="1" applyBorder="1" applyAlignment="1">
      <alignment horizontal="right"/>
    </xf>
    <xf numFmtId="43" fontId="35" fillId="2" borderId="0" xfId="119" applyFont="1" applyFill="1" applyBorder="1"/>
    <xf numFmtId="164" fontId="36" fillId="0" borderId="10" xfId="1" applyNumberFormat="1" applyFont="1" applyBorder="1" applyAlignment="1" applyProtection="1">
      <alignment horizontal="left"/>
      <protection hidden="1"/>
    </xf>
    <xf numFmtId="3" fontId="21" fillId="0" borderId="11" xfId="1" applyNumberFormat="1" applyFont="1" applyBorder="1" applyAlignment="1">
      <alignment horizontal="right"/>
    </xf>
    <xf numFmtId="43" fontId="37" fillId="2" borderId="13" xfId="119" applyFont="1" applyFill="1" applyBorder="1"/>
    <xf numFmtId="43" fontId="37" fillId="2" borderId="16" xfId="119" applyFont="1" applyFill="1" applyBorder="1"/>
    <xf numFmtId="43" fontId="37" fillId="2" borderId="13" xfId="119" applyFont="1" applyFill="1" applyBorder="1" applyAlignment="1">
      <alignment horizontal="right"/>
    </xf>
    <xf numFmtId="3" fontId="37" fillId="2" borderId="13" xfId="139" applyNumberFormat="1" applyFont="1" applyFill="1" applyBorder="1"/>
    <xf numFmtId="43" fontId="37" fillId="0" borderId="13" xfId="119" applyFont="1" applyBorder="1"/>
    <xf numFmtId="43" fontId="37" fillId="0" borderId="13" xfId="139" applyNumberFormat="1" applyFont="1" applyBorder="1"/>
    <xf numFmtId="43" fontId="37" fillId="0" borderId="13" xfId="119" applyFont="1" applyBorder="1" applyAlignment="1">
      <alignment horizontal="right"/>
    </xf>
    <xf numFmtId="4" fontId="37" fillId="0" borderId="13" xfId="139" applyNumberFormat="1" applyFont="1" applyBorder="1" applyAlignment="1">
      <alignment horizontal="right"/>
    </xf>
    <xf numFmtId="166" fontId="37" fillId="0" borderId="13" xfId="206" applyNumberFormat="1" applyFont="1" applyFill="1" applyBorder="1" applyAlignment="1">
      <alignment horizontal="right" wrapText="1"/>
    </xf>
    <xf numFmtId="4" fontId="37" fillId="0" borderId="13" xfId="119" applyNumberFormat="1" applyFont="1" applyBorder="1"/>
    <xf numFmtId="4" fontId="37" fillId="2" borderId="16" xfId="119" applyNumberFormat="1" applyFont="1" applyFill="1" applyBorder="1"/>
    <xf numFmtId="4" fontId="37" fillId="2" borderId="13" xfId="119" applyNumberFormat="1" applyFont="1" applyFill="1" applyBorder="1" applyAlignment="1">
      <alignment horizontal="right"/>
    </xf>
    <xf numFmtId="4" fontId="37" fillId="0" borderId="13" xfId="207" applyNumberFormat="1" applyFont="1" applyBorder="1" applyAlignment="1">
      <alignment horizontal="right" vertical="center" wrapText="1"/>
    </xf>
    <xf numFmtId="4" fontId="37" fillId="0" borderId="34" xfId="0" applyNumberFormat="1" applyFont="1" applyBorder="1" applyAlignment="1">
      <alignment horizontal="right" vertical="center"/>
    </xf>
    <xf numFmtId="43" fontId="37" fillId="0" borderId="16" xfId="119" applyFont="1" applyBorder="1"/>
    <xf numFmtId="43" fontId="37" fillId="0" borderId="22" xfId="119" applyFont="1" applyBorder="1"/>
    <xf numFmtId="43" fontId="37" fillId="0" borderId="22" xfId="139" applyNumberFormat="1" applyFont="1" applyBorder="1"/>
    <xf numFmtId="43" fontId="37" fillId="2" borderId="22" xfId="119" applyFont="1" applyFill="1" applyBorder="1" applyAlignment="1">
      <alignment horizontal="right"/>
    </xf>
    <xf numFmtId="43" fontId="37" fillId="0" borderId="22" xfId="119" applyFont="1" applyBorder="1" applyAlignment="1">
      <alignment horizontal="right"/>
    </xf>
    <xf numFmtId="4" fontId="37" fillId="0" borderId="22" xfId="139" applyNumberFormat="1" applyFont="1" applyBorder="1" applyAlignment="1">
      <alignment horizontal="right"/>
    </xf>
    <xf numFmtId="3" fontId="38" fillId="0" borderId="10" xfId="206" applyNumberFormat="1" applyFont="1" applyFill="1" applyBorder="1" applyAlignment="1">
      <alignment horizontal="right" wrapText="1"/>
    </xf>
    <xf numFmtId="3" fontId="37" fillId="0" borderId="10" xfId="139" applyNumberFormat="1" applyFont="1" applyBorder="1"/>
    <xf numFmtId="3" fontId="37" fillId="2" borderId="10" xfId="4" applyNumberFormat="1" applyFont="1" applyFill="1" applyBorder="1" applyAlignment="1">
      <alignment horizontal="right" wrapText="1"/>
    </xf>
    <xf numFmtId="3" fontId="37" fillId="0" borderId="10" xfId="0" applyNumberFormat="1" applyFont="1" applyBorder="1" applyAlignment="1">
      <alignment horizontal="right"/>
    </xf>
    <xf numFmtId="164" fontId="38" fillId="0" borderId="11" xfId="1" applyNumberFormat="1" applyFont="1" applyBorder="1"/>
    <xf numFmtId="43" fontId="38" fillId="2" borderId="0" xfId="0" applyNumberFormat="1" applyFont="1" applyFill="1"/>
    <xf numFmtId="164" fontId="38" fillId="0" borderId="11" xfId="1" applyNumberFormat="1" applyFont="1" applyBorder="1" applyAlignment="1">
      <alignment horizontal="right"/>
    </xf>
    <xf numFmtId="164" fontId="38" fillId="0" borderId="10" xfId="1" applyNumberFormat="1" applyFont="1" applyBorder="1"/>
    <xf numFmtId="164" fontId="38" fillId="0" borderId="10" xfId="1" applyNumberFormat="1" applyFont="1" applyBorder="1" applyAlignment="1">
      <alignment horizontal="center"/>
    </xf>
    <xf numFmtId="164" fontId="38" fillId="0" borderId="10" xfId="1" applyNumberFormat="1" applyFont="1" applyBorder="1" applyAlignment="1">
      <alignment horizontal="right"/>
    </xf>
    <xf numFmtId="4" fontId="37" fillId="0" borderId="13" xfId="0" applyNumberFormat="1" applyFont="1" applyBorder="1"/>
    <xf numFmtId="4" fontId="37" fillId="0" borderId="16" xfId="0" applyNumberFormat="1" applyFont="1" applyBorder="1"/>
    <xf numFmtId="4" fontId="37" fillId="0" borderId="13" xfId="0" applyNumberFormat="1" applyFont="1" applyBorder="1" applyAlignment="1">
      <alignment horizontal="right"/>
    </xf>
    <xf numFmtId="4" fontId="37" fillId="0" borderId="33" xfId="119" applyNumberFormat="1" applyFont="1" applyFill="1" applyBorder="1" applyAlignment="1">
      <alignment horizontal="right" vertical="center"/>
    </xf>
    <xf numFmtId="4" fontId="37" fillId="0" borderId="34" xfId="119" applyNumberFormat="1" applyFont="1" applyFill="1" applyBorder="1" applyAlignment="1">
      <alignment horizontal="right" vertical="center"/>
    </xf>
    <xf numFmtId="43" fontId="37" fillId="0" borderId="0" xfId="0" applyNumberFormat="1" applyFont="1"/>
    <xf numFmtId="4" fontId="37" fillId="0" borderId="0" xfId="0" applyNumberFormat="1" applyFont="1"/>
    <xf numFmtId="4" fontId="37" fillId="0" borderId="13" xfId="208" applyNumberFormat="1" applyFont="1" applyFill="1" applyBorder="1" applyAlignment="1">
      <alignment horizontal="right" vertical="center"/>
    </xf>
    <xf numFmtId="164" fontId="39" fillId="34" borderId="12" xfId="1" applyNumberFormat="1" applyFont="1" applyFill="1" applyBorder="1"/>
    <xf numFmtId="164" fontId="39" fillId="34" borderId="12" xfId="1" applyNumberFormat="1" applyFont="1" applyFill="1" applyBorder="1" applyAlignment="1">
      <alignment horizontal="center"/>
    </xf>
    <xf numFmtId="3" fontId="39" fillId="34" borderId="12" xfId="1" applyNumberFormat="1" applyFont="1" applyFill="1" applyBorder="1" applyAlignment="1">
      <alignment horizontal="center"/>
    </xf>
    <xf numFmtId="3" fontId="38" fillId="0" borderId="10" xfId="1" applyNumberFormat="1" applyFont="1" applyBorder="1"/>
    <xf numFmtId="3" fontId="37" fillId="2" borderId="10" xfId="119" applyNumberFormat="1" applyFont="1" applyFill="1" applyBorder="1" applyAlignment="1">
      <alignment horizontal="right"/>
    </xf>
    <xf numFmtId="3" fontId="38" fillId="2" borderId="10" xfId="0" applyNumberFormat="1" applyFont="1" applyFill="1" applyBorder="1" applyAlignment="1">
      <alignment horizontal="right"/>
    </xf>
    <xf numFmtId="3" fontId="38" fillId="2" borderId="10" xfId="1" applyNumberFormat="1" applyFont="1" applyFill="1" applyBorder="1"/>
    <xf numFmtId="3" fontId="38" fillId="0" borderId="10" xfId="1" applyNumberFormat="1" applyFont="1" applyBorder="1" applyAlignment="1">
      <alignment horizontal="right"/>
    </xf>
    <xf numFmtId="3" fontId="37" fillId="0" borderId="10" xfId="119" applyNumberFormat="1" applyFont="1" applyFill="1" applyBorder="1" applyAlignment="1">
      <alignment horizontal="right" vertical="center"/>
    </xf>
    <xf numFmtId="3" fontId="37" fillId="2" borderId="10" xfId="139" applyNumberFormat="1" applyFont="1" applyFill="1" applyBorder="1" applyAlignment="1">
      <alignment horizontal="right"/>
    </xf>
    <xf numFmtId="3" fontId="38" fillId="2" borderId="10" xfId="0" applyNumberFormat="1" applyFont="1" applyFill="1" applyBorder="1"/>
    <xf numFmtId="3" fontId="39" fillId="34" borderId="10" xfId="1" applyNumberFormat="1" applyFont="1" applyFill="1" applyBorder="1"/>
    <xf numFmtId="3" fontId="39" fillId="34" borderId="10" xfId="1" applyNumberFormat="1" applyFont="1" applyFill="1" applyBorder="1" applyAlignment="1">
      <alignment horizontal="center"/>
    </xf>
    <xf numFmtId="3" fontId="37" fillId="38" borderId="10" xfId="1" applyNumberFormat="1" applyFont="1" applyFill="1" applyBorder="1" applyAlignment="1">
      <alignment horizontal="right"/>
    </xf>
    <xf numFmtId="3" fontId="37" fillId="38" borderId="10" xfId="119" applyNumberFormat="1" applyFont="1" applyFill="1" applyBorder="1" applyAlignment="1">
      <alignment horizontal="right"/>
    </xf>
    <xf numFmtId="3" fontId="38" fillId="2" borderId="0" xfId="0" applyNumberFormat="1" applyFont="1" applyFill="1" applyBorder="1" applyAlignment="1">
      <alignment horizontal="right"/>
    </xf>
    <xf numFmtId="3" fontId="37" fillId="2" borderId="10" xfId="1" applyNumberFormat="1" applyFont="1" applyFill="1" applyBorder="1" applyAlignment="1">
      <alignment horizontal="right"/>
    </xf>
    <xf numFmtId="3" fontId="37" fillId="0" borderId="10" xfId="1" applyNumberFormat="1" applyFont="1" applyBorder="1" applyAlignment="1">
      <alignment horizontal="right"/>
    </xf>
    <xf numFmtId="3" fontId="37" fillId="2" borderId="10" xfId="0" applyNumberFormat="1" applyFont="1" applyFill="1" applyBorder="1" applyAlignment="1">
      <alignment horizontal="right"/>
    </xf>
    <xf numFmtId="3" fontId="38" fillId="0" borderId="10" xfId="1" applyNumberFormat="1" applyFont="1" applyFill="1" applyBorder="1" applyAlignment="1">
      <alignment horizontal="right"/>
    </xf>
    <xf numFmtId="164" fontId="0" fillId="0" borderId="11" xfId="1" applyNumberFormat="1" applyFont="1" applyBorder="1" applyProtection="1">
      <protection hidden="1"/>
    </xf>
    <xf numFmtId="0" fontId="17" fillId="2" borderId="13" xfId="0" applyFont="1" applyFill="1" applyBorder="1" applyAlignment="1" applyProtection="1">
      <alignment horizontal="center" wrapText="1"/>
      <protection hidden="1"/>
    </xf>
    <xf numFmtId="0" fontId="23" fillId="2" borderId="24" xfId="0" applyFont="1" applyFill="1" applyBorder="1" applyAlignment="1" applyProtection="1">
      <alignment horizontal="center" wrapText="1"/>
      <protection hidden="1"/>
    </xf>
    <xf numFmtId="169" fontId="0" fillId="2" borderId="0" xfId="0" applyNumberFormat="1" applyFont="1" applyFill="1" applyBorder="1"/>
    <xf numFmtId="3" fontId="17" fillId="34" borderId="30" xfId="1" applyNumberFormat="1" applyFont="1" applyFill="1" applyBorder="1" applyAlignment="1" applyProtection="1">
      <alignment horizontal="center"/>
      <protection hidden="1"/>
    </xf>
    <xf numFmtId="3" fontId="0" fillId="0" borderId="0" xfId="0" applyNumberFormat="1" applyFont="1" applyProtection="1">
      <protection hidden="1"/>
    </xf>
    <xf numFmtId="3" fontId="0" fillId="0" borderId="10" xfId="1" applyNumberFormat="1" applyFont="1" applyFill="1" applyBorder="1" applyProtection="1">
      <protection hidden="1"/>
    </xf>
    <xf numFmtId="168" fontId="29" fillId="2" borderId="37" xfId="0" applyNumberFormat="1" applyFont="1" applyFill="1" applyBorder="1" applyAlignment="1">
      <alignment horizontal="right"/>
    </xf>
    <xf numFmtId="3" fontId="0" fillId="0" borderId="35" xfId="1" applyNumberFormat="1" applyFont="1" applyBorder="1" applyProtection="1">
      <protection hidden="1"/>
    </xf>
    <xf numFmtId="3" fontId="21" fillId="0" borderId="10" xfId="1" applyNumberFormat="1" applyFont="1" applyBorder="1" applyProtection="1">
      <protection hidden="1"/>
    </xf>
    <xf numFmtId="3" fontId="21" fillId="0" borderId="35" xfId="1" applyNumberFormat="1" applyFont="1" applyBorder="1" applyProtection="1">
      <protection hidden="1"/>
    </xf>
    <xf numFmtId="3" fontId="21" fillId="0" borderId="10" xfId="1" applyNumberFormat="1" applyFont="1" applyFill="1" applyBorder="1" applyProtection="1">
      <protection hidden="1"/>
    </xf>
    <xf numFmtId="3" fontId="1" fillId="0" borderId="10" xfId="1" applyNumberFormat="1" applyFont="1" applyBorder="1" applyAlignment="1">
      <alignment horizontal="right"/>
    </xf>
    <xf numFmtId="3" fontId="40" fillId="38" borderId="10" xfId="1" applyNumberFormat="1" applyFont="1" applyFill="1" applyBorder="1" applyAlignment="1">
      <alignment horizontal="right"/>
    </xf>
    <xf numFmtId="3" fontId="40" fillId="2" borderId="10" xfId="119" applyNumberFormat="1" applyFont="1" applyFill="1" applyBorder="1" applyAlignment="1">
      <alignment horizontal="right"/>
    </xf>
    <xf numFmtId="3" fontId="40" fillId="38" borderId="10" xfId="119" applyNumberFormat="1" applyFont="1" applyFill="1" applyBorder="1" applyAlignment="1">
      <alignment horizontal="right"/>
    </xf>
    <xf numFmtId="3" fontId="40" fillId="2" borderId="10" xfId="0" applyNumberFormat="1" applyFont="1" applyFill="1" applyBorder="1" applyAlignment="1">
      <alignment horizontal="right"/>
    </xf>
    <xf numFmtId="3" fontId="37" fillId="38" borderId="36" xfId="1" applyNumberFormat="1" applyFont="1" applyFill="1" applyBorder="1" applyAlignment="1">
      <alignment horizontal="right"/>
    </xf>
    <xf numFmtId="3" fontId="37" fillId="2" borderId="36" xfId="1" applyNumberFormat="1" applyFont="1" applyFill="1" applyBorder="1" applyAlignment="1">
      <alignment horizontal="right"/>
    </xf>
    <xf numFmtId="3" fontId="37" fillId="2" borderId="37" xfId="0" applyNumberFormat="1" applyFont="1" applyFill="1" applyBorder="1" applyAlignment="1">
      <alignment horizontal="right"/>
    </xf>
    <xf numFmtId="3" fontId="1" fillId="0" borderId="11" xfId="1" applyNumberFormat="1" applyFont="1" applyBorder="1" applyAlignment="1">
      <alignment horizontal="right"/>
    </xf>
    <xf numFmtId="3" fontId="40" fillId="38" borderId="11" xfId="1" applyNumberFormat="1" applyFont="1" applyFill="1" applyBorder="1" applyAlignment="1">
      <alignment horizontal="right"/>
    </xf>
    <xf numFmtId="3" fontId="40" fillId="2" borderId="11" xfId="119" applyNumberFormat="1" applyFont="1" applyFill="1" applyBorder="1" applyAlignment="1">
      <alignment horizontal="right"/>
    </xf>
    <xf numFmtId="3" fontId="40" fillId="38" borderId="11" xfId="119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40" fillId="2" borderId="11" xfId="0" applyNumberFormat="1" applyFont="1" applyFill="1" applyBorder="1" applyAlignment="1">
      <alignment horizontal="right"/>
    </xf>
    <xf numFmtId="3" fontId="1" fillId="0" borderId="10" xfId="1" applyNumberFormat="1" applyFont="1" applyFill="1" applyBorder="1" applyAlignment="1">
      <alignment horizontal="right"/>
    </xf>
    <xf numFmtId="3" fontId="37" fillId="0" borderId="34" xfId="0" applyNumberFormat="1" applyFont="1" applyBorder="1" applyAlignment="1">
      <alignment wrapText="1"/>
    </xf>
    <xf numFmtId="3" fontId="21" fillId="0" borderId="13" xfId="0" applyNumberFormat="1" applyFont="1" applyBorder="1"/>
    <xf numFmtId="4" fontId="21" fillId="0" borderId="10" xfId="1" applyNumberFormat="1" applyFont="1" applyBorder="1" applyProtection="1">
      <protection hidden="1"/>
    </xf>
    <xf numFmtId="4" fontId="37" fillId="0" borderId="34" xfId="0" applyNumberFormat="1" applyFont="1" applyBorder="1" applyAlignment="1">
      <alignment wrapText="1"/>
    </xf>
    <xf numFmtId="4" fontId="41" fillId="0" borderId="13" xfId="0" applyNumberFormat="1" applyFont="1" applyBorder="1"/>
    <xf numFmtId="4" fontId="0" fillId="2" borderId="0" xfId="0" applyNumberFormat="1" applyFont="1" applyFill="1" applyBorder="1"/>
    <xf numFmtId="4" fontId="42" fillId="38" borderId="38" xfId="0" applyNumberFormat="1" applyFont="1" applyFill="1" applyBorder="1" applyAlignment="1" applyProtection="1">
      <alignment vertical="center" wrapText="1"/>
    </xf>
    <xf numFmtId="4" fontId="43" fillId="0" borderId="0" xfId="0" applyNumberFormat="1" applyFont="1"/>
    <xf numFmtId="4" fontId="21" fillId="2" borderId="30" xfId="1" applyNumberFormat="1" applyFont="1" applyFill="1" applyBorder="1" applyAlignment="1" applyProtection="1">
      <protection hidden="1"/>
    </xf>
    <xf numFmtId="4" fontId="21" fillId="0" borderId="10" xfId="1" applyNumberFormat="1" applyFont="1" applyBorder="1" applyAlignment="1" applyProtection="1">
      <protection hidden="1"/>
    </xf>
    <xf numFmtId="4" fontId="21" fillId="0" borderId="10" xfId="1" applyNumberFormat="1" applyFont="1" applyBorder="1" applyAlignment="1" applyProtection="1">
      <alignment horizontal="right"/>
      <protection hidden="1"/>
    </xf>
    <xf numFmtId="4" fontId="21" fillId="0" borderId="10" xfId="1" applyNumberFormat="1" applyFont="1" applyFill="1" applyBorder="1" applyAlignment="1" applyProtection="1">
      <protection hidden="1"/>
    </xf>
    <xf numFmtId="4" fontId="1" fillId="2" borderId="30" xfId="1" applyNumberFormat="1" applyFont="1" applyFill="1" applyBorder="1" applyAlignment="1" applyProtection="1">
      <protection hidden="1"/>
    </xf>
    <xf numFmtId="4" fontId="0" fillId="0" borderId="10" xfId="1" applyNumberFormat="1" applyFont="1" applyBorder="1" applyAlignment="1" applyProtection="1">
      <protection hidden="1"/>
    </xf>
    <xf numFmtId="4" fontId="0" fillId="0" borderId="10" xfId="1" applyNumberFormat="1" applyFont="1" applyBorder="1" applyAlignment="1" applyProtection="1">
      <alignment horizontal="right"/>
      <protection hidden="1"/>
    </xf>
    <xf numFmtId="4" fontId="0" fillId="0" borderId="0" xfId="0" applyNumberFormat="1" applyFont="1" applyAlignment="1" applyProtection="1">
      <alignment horizontal="right"/>
      <protection hidden="1"/>
    </xf>
    <xf numFmtId="4" fontId="32" fillId="0" borderId="13" xfId="0" applyNumberFormat="1" applyFont="1" applyBorder="1"/>
    <xf numFmtId="4" fontId="0" fillId="0" borderId="39" xfId="1" applyNumberFormat="1" applyFont="1" applyFill="1" applyBorder="1" applyProtection="1">
      <protection hidden="1"/>
    </xf>
    <xf numFmtId="3" fontId="0" fillId="2" borderId="0" xfId="0" applyNumberFormat="1" applyFont="1" applyFill="1"/>
    <xf numFmtId="4" fontId="0" fillId="0" borderId="0" xfId="0" applyNumberFormat="1"/>
    <xf numFmtId="3" fontId="0" fillId="0" borderId="12" xfId="1" applyNumberFormat="1" applyFont="1" applyBorder="1"/>
    <xf numFmtId="4" fontId="37" fillId="0" borderId="40" xfId="0" applyNumberFormat="1" applyFont="1" applyBorder="1" applyAlignment="1">
      <alignment wrapText="1"/>
    </xf>
    <xf numFmtId="168" fontId="29" fillId="38" borderId="41" xfId="1" applyNumberFormat="1" applyFont="1" applyFill="1" applyBorder="1" applyAlignment="1">
      <alignment horizontal="right"/>
    </xf>
    <xf numFmtId="168" fontId="29" fillId="2" borderId="41" xfId="1" applyNumberFormat="1" applyFont="1" applyFill="1" applyBorder="1" applyAlignment="1">
      <alignment horizontal="right"/>
    </xf>
    <xf numFmtId="168" fontId="29" fillId="2" borderId="41" xfId="0" applyNumberFormat="1" applyFont="1" applyFill="1" applyBorder="1" applyAlignment="1">
      <alignment horizontal="right"/>
    </xf>
    <xf numFmtId="4" fontId="0" fillId="2" borderId="0" xfId="0" applyNumberFormat="1" applyFont="1" applyFill="1"/>
    <xf numFmtId="169" fontId="0" fillId="2" borderId="0" xfId="0" applyNumberFormat="1" applyFont="1" applyFill="1"/>
    <xf numFmtId="170" fontId="0" fillId="2" borderId="0" xfId="0" applyNumberFormat="1" applyFont="1" applyFill="1"/>
    <xf numFmtId="3" fontId="0" fillId="0" borderId="10" xfId="1" applyNumberFormat="1" applyFont="1" applyBorder="1" applyAlignment="1" applyProtection="1">
      <protection hidden="1"/>
    </xf>
    <xf numFmtId="3" fontId="0" fillId="0" borderId="0" xfId="0" applyNumberFormat="1" applyFont="1" applyAlignment="1" applyProtection="1">
      <alignment horizontal="right"/>
      <protection hidden="1"/>
    </xf>
    <xf numFmtId="0" fontId="0" fillId="0" borderId="0" xfId="0" applyFont="1" applyBorder="1" applyAlignment="1">
      <alignment horizontal="center"/>
    </xf>
    <xf numFmtId="0" fontId="26" fillId="0" borderId="0" xfId="0" applyFont="1" applyBorder="1"/>
    <xf numFmtId="4" fontId="44" fillId="0" borderId="17" xfId="0" applyNumberFormat="1" applyFont="1" applyBorder="1"/>
    <xf numFmtId="0" fontId="21" fillId="0" borderId="10" xfId="0" applyFont="1" applyBorder="1"/>
    <xf numFmtId="4" fontId="21" fillId="2" borderId="0" xfId="0" applyNumberFormat="1" applyFont="1" applyFill="1" applyBorder="1"/>
    <xf numFmtId="3" fontId="21" fillId="2" borderId="0" xfId="0" applyNumberFormat="1" applyFont="1" applyFill="1"/>
    <xf numFmtId="0" fontId="21" fillId="2" borderId="0" xfId="0" applyFont="1" applyFill="1"/>
    <xf numFmtId="3" fontId="0" fillId="2" borderId="0" xfId="0" applyNumberFormat="1" applyFont="1" applyFill="1" applyBorder="1"/>
    <xf numFmtId="3" fontId="45" fillId="0" borderId="10" xfId="1" applyNumberFormat="1" applyFont="1" applyBorder="1" applyAlignment="1">
      <alignment horizontal="right"/>
    </xf>
    <xf numFmtId="3" fontId="45" fillId="2" borderId="10" xfId="0" applyNumberFormat="1" applyFont="1" applyFill="1" applyBorder="1" applyAlignment="1">
      <alignment horizontal="right"/>
    </xf>
    <xf numFmtId="4" fontId="40" fillId="0" borderId="34" xfId="0" applyNumberFormat="1" applyFont="1" applyBorder="1" applyAlignment="1">
      <alignment wrapText="1"/>
    </xf>
    <xf numFmtId="3" fontId="40" fillId="0" borderId="10" xfId="1" applyNumberFormat="1" applyFont="1" applyBorder="1" applyAlignment="1">
      <alignment horizontal="right"/>
    </xf>
    <xf numFmtId="3" fontId="45" fillId="0" borderId="11" xfId="1" applyNumberFormat="1" applyFont="1" applyBorder="1" applyAlignment="1">
      <alignment horizontal="right"/>
    </xf>
    <xf numFmtId="3" fontId="45" fillId="2" borderId="0" xfId="0" applyNumberFormat="1" applyFont="1" applyFill="1" applyBorder="1" applyAlignment="1">
      <alignment horizontal="right"/>
    </xf>
    <xf numFmtId="3" fontId="40" fillId="0" borderId="11" xfId="1" applyNumberFormat="1" applyFont="1" applyBorder="1" applyAlignment="1">
      <alignment horizontal="right"/>
    </xf>
    <xf numFmtId="3" fontId="45" fillId="0" borderId="10" xfId="1" applyNumberFormat="1" applyFont="1" applyFill="1" applyBorder="1" applyAlignment="1">
      <alignment horizontal="right"/>
    </xf>
    <xf numFmtId="3" fontId="40" fillId="0" borderId="34" xfId="0" applyNumberFormat="1" applyFont="1" applyBorder="1" applyAlignment="1">
      <alignment wrapText="1"/>
    </xf>
    <xf numFmtId="3" fontId="40" fillId="0" borderId="10" xfId="0" applyNumberFormat="1" applyFont="1" applyBorder="1" applyAlignment="1">
      <alignment horizontal="right"/>
    </xf>
    <xf numFmtId="3" fontId="40" fillId="2" borderId="0" xfId="0" applyNumberFormat="1" applyFont="1" applyFill="1" applyBorder="1" applyAlignment="1">
      <alignment horizontal="right"/>
    </xf>
    <xf numFmtId="3" fontId="40" fillId="0" borderId="13" xfId="0" applyNumberFormat="1" applyFont="1" applyBorder="1"/>
    <xf numFmtId="4" fontId="46" fillId="0" borderId="13" xfId="139" applyNumberFormat="1" applyFont="1" applyBorder="1"/>
    <xf numFmtId="4" fontId="40" fillId="0" borderId="13" xfId="139" applyNumberFormat="1" applyFont="1" applyBorder="1" applyAlignment="1">
      <alignment wrapText="1"/>
    </xf>
    <xf numFmtId="4" fontId="40" fillId="0" borderId="13" xfId="0" applyNumberFormat="1" applyFont="1" applyBorder="1"/>
    <xf numFmtId="3" fontId="40" fillId="2" borderId="13" xfId="119" applyNumberFormat="1" applyFont="1" applyFill="1" applyBorder="1" applyAlignment="1">
      <alignment horizontal="right" vertical="center" wrapText="1"/>
    </xf>
    <xf numFmtId="3" fontId="47" fillId="0" borderId="13" xfId="1" applyNumberFormat="1" applyFont="1" applyFill="1" applyBorder="1" applyAlignment="1">
      <alignment horizontal="right" vertical="center" wrapText="1"/>
    </xf>
    <xf numFmtId="170" fontId="0" fillId="2" borderId="0" xfId="0" applyNumberFormat="1" applyFont="1" applyFill="1" applyBorder="1"/>
    <xf numFmtId="3" fontId="41" fillId="0" borderId="13" xfId="0" applyNumberFormat="1" applyFont="1" applyBorder="1"/>
    <xf numFmtId="4" fontId="42" fillId="38" borderId="38" xfId="0" applyNumberFormat="1" applyFont="1" applyFill="1" applyBorder="1" applyAlignment="1" applyProtection="1">
      <alignment horizontal="right" vertical="center" wrapText="1"/>
    </xf>
    <xf numFmtId="164" fontId="15" fillId="0" borderId="10" xfId="1" applyNumberFormat="1" applyFont="1" applyBorder="1" applyProtection="1">
      <protection hidden="1"/>
    </xf>
    <xf numFmtId="3" fontId="43" fillId="0" borderId="0" xfId="0" applyNumberFormat="1" applyFont="1"/>
    <xf numFmtId="3" fontId="21" fillId="0" borderId="10" xfId="1" applyNumberFormat="1" applyFont="1" applyBorder="1" applyAlignment="1" applyProtection="1">
      <protection hidden="1"/>
    </xf>
    <xf numFmtId="3" fontId="0" fillId="0" borderId="0" xfId="0" applyNumberFormat="1"/>
    <xf numFmtId="3" fontId="21" fillId="0" borderId="10" xfId="1" applyNumberFormat="1" applyFont="1" applyFill="1" applyBorder="1" applyAlignment="1" applyProtection="1">
      <protection hidden="1"/>
    </xf>
    <xf numFmtId="4" fontId="0" fillId="0" borderId="34" xfId="0" applyNumberFormat="1" applyBorder="1"/>
    <xf numFmtId="4" fontId="0" fillId="2" borderId="0" xfId="0" applyNumberFormat="1" applyFill="1" applyBorder="1"/>
    <xf numFmtId="4" fontId="48" fillId="38" borderId="42" xfId="0" applyNumberFormat="1" applyFont="1" applyFill="1" applyBorder="1" applyAlignment="1" applyProtection="1">
      <alignment vertical="center" wrapText="1"/>
    </xf>
    <xf numFmtId="4" fontId="0" fillId="2" borderId="43" xfId="0" applyNumberFormat="1" applyFill="1" applyBorder="1"/>
    <xf numFmtId="3" fontId="0" fillId="0" borderId="23" xfId="1" applyNumberFormat="1" applyFont="1" applyBorder="1" applyProtection="1">
      <protection hidden="1"/>
    </xf>
    <xf numFmtId="3" fontId="0" fillId="0" borderId="23" xfId="1" applyNumberFormat="1" applyFont="1" applyFill="1" applyBorder="1" applyProtection="1">
      <protection hidden="1"/>
    </xf>
    <xf numFmtId="3" fontId="21" fillId="0" borderId="23" xfId="1" applyNumberFormat="1" applyFont="1" applyFill="1" applyBorder="1" applyProtection="1">
      <protection hidden="1"/>
    </xf>
    <xf numFmtId="3" fontId="21" fillId="0" borderId="23" xfId="1" applyNumberFormat="1" applyFont="1" applyBorder="1" applyProtection="1">
      <protection hidden="1"/>
    </xf>
    <xf numFmtId="3" fontId="0" fillId="0" borderId="13" xfId="0" applyNumberFormat="1" applyFont="1" applyBorder="1" applyProtection="1">
      <protection hidden="1"/>
    </xf>
    <xf numFmtId="3" fontId="0" fillId="0" borderId="13" xfId="1" applyNumberFormat="1" applyFont="1" applyBorder="1" applyProtection="1">
      <protection hidden="1"/>
    </xf>
    <xf numFmtId="3" fontId="0" fillId="0" borderId="45" xfId="1" applyNumberFormat="1" applyFont="1" applyBorder="1" applyProtection="1">
      <protection hidden="1"/>
    </xf>
    <xf numFmtId="4" fontId="0" fillId="0" borderId="13" xfId="0" applyNumberFormat="1" applyBorder="1"/>
    <xf numFmtId="3" fontId="0" fillId="0" borderId="13" xfId="1" applyNumberFormat="1" applyFont="1" applyFill="1" applyBorder="1" applyProtection="1">
      <protection hidden="1"/>
    </xf>
    <xf numFmtId="164" fontId="0" fillId="0" borderId="45" xfId="1" applyNumberFormat="1" applyFont="1" applyBorder="1" applyProtection="1">
      <protection hidden="1"/>
    </xf>
    <xf numFmtId="3" fontId="21" fillId="0" borderId="13" xfId="1" applyNumberFormat="1" applyFont="1" applyFill="1" applyBorder="1" applyProtection="1">
      <protection hidden="1"/>
    </xf>
    <xf numFmtId="0" fontId="0" fillId="0" borderId="13" xfId="0" applyFont="1" applyBorder="1" applyAlignment="1" applyProtection="1">
      <protection hidden="1"/>
    </xf>
    <xf numFmtId="4" fontId="48" fillId="38" borderId="13" xfId="0" applyNumberFormat="1" applyFont="1" applyFill="1" applyBorder="1" applyAlignment="1" applyProtection="1">
      <alignment vertical="center" wrapText="1"/>
    </xf>
    <xf numFmtId="3" fontId="43" fillId="0" borderId="13" xfId="0" applyNumberFormat="1" applyFont="1" applyBorder="1"/>
    <xf numFmtId="3" fontId="0" fillId="0" borderId="26" xfId="1" applyNumberFormat="1" applyFont="1" applyBorder="1" applyProtection="1">
      <protection hidden="1"/>
    </xf>
    <xf numFmtId="164" fontId="0" fillId="0" borderId="44" xfId="1" applyNumberFormat="1" applyFont="1" applyBorder="1" applyProtection="1">
      <protection hidden="1"/>
    </xf>
    <xf numFmtId="0" fontId="21" fillId="0" borderId="28" xfId="0" applyFont="1" applyBorder="1" applyAlignment="1" applyProtection="1">
      <alignment horizontal="center" vertical="center"/>
      <protection hidden="1"/>
    </xf>
    <xf numFmtId="0" fontId="21" fillId="0" borderId="31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7" fillId="0" borderId="18" xfId="0" applyFont="1" applyBorder="1" applyAlignment="1" applyProtection="1">
      <alignment horizontal="center" vertic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0" xfId="0" applyNumberFormat="1" applyFont="1" applyAlignment="1" applyProtection="1">
      <alignment horizontal="center"/>
      <protection hidden="1"/>
    </xf>
  </cellXfs>
  <cellStyles count="209">
    <cellStyle name="20% - Accent1" xfId="23" builtinId="30" customBuiltin="1"/>
    <cellStyle name="20% - Accent1 2" xfId="47"/>
    <cellStyle name="20% - Accent1 2 2" xfId="48"/>
    <cellStyle name="20% - Accent1 2 3" xfId="49"/>
    <cellStyle name="20% - Accent1 2 4" xfId="50"/>
    <cellStyle name="20% - Accent1 2 5" xfId="51"/>
    <cellStyle name="20% - Accent1 2 6" xfId="52"/>
    <cellStyle name="20% - Accent2" xfId="27" builtinId="34" customBuiltin="1"/>
    <cellStyle name="20% - Accent2 2" xfId="53"/>
    <cellStyle name="20% - Accent2 2 2" xfId="54"/>
    <cellStyle name="20% - Accent2 2 3" xfId="55"/>
    <cellStyle name="20% - Accent2 2 4" xfId="56"/>
    <cellStyle name="20% - Accent2 2 5" xfId="57"/>
    <cellStyle name="20% - Accent2 2 6" xfId="58"/>
    <cellStyle name="20% - Accent3" xfId="31" builtinId="38" customBuiltin="1"/>
    <cellStyle name="20% - Accent3 2" xfId="59"/>
    <cellStyle name="20% - Accent3 2 2" xfId="60"/>
    <cellStyle name="20% - Accent3 2 3" xfId="61"/>
    <cellStyle name="20% - Accent3 2 4" xfId="62"/>
    <cellStyle name="20% - Accent3 2 5" xfId="63"/>
    <cellStyle name="20% - Accent3 2 6" xfId="64"/>
    <cellStyle name="20% - Accent4" xfId="35" builtinId="42" customBuiltin="1"/>
    <cellStyle name="20% - Accent4 2" xfId="65"/>
    <cellStyle name="20% - Accent4 2 2" xfId="66"/>
    <cellStyle name="20% - Accent4 2 3" xfId="67"/>
    <cellStyle name="20% - Accent4 2 4" xfId="68"/>
    <cellStyle name="20% - Accent4 2 5" xfId="69"/>
    <cellStyle name="20% - Accent4 2 6" xfId="70"/>
    <cellStyle name="20% - Accent5" xfId="39" builtinId="46" customBuiltin="1"/>
    <cellStyle name="20% - Accent5 2" xfId="71"/>
    <cellStyle name="20% - Accent5 2 2" xfId="72"/>
    <cellStyle name="20% - Accent5 2 3" xfId="73"/>
    <cellStyle name="20% - Accent5 2 4" xfId="74"/>
    <cellStyle name="20% - Accent5 2 5" xfId="75"/>
    <cellStyle name="20% - Accent5 2 6" xfId="76"/>
    <cellStyle name="20% - Accent6" xfId="43" builtinId="50" customBuiltin="1"/>
    <cellStyle name="20% - Accent6 2" xfId="77"/>
    <cellStyle name="20% - Accent6 2 2" xfId="78"/>
    <cellStyle name="20% - Accent6 2 3" xfId="79"/>
    <cellStyle name="20% - Accent6 2 4" xfId="80"/>
    <cellStyle name="20% - Accent6 2 5" xfId="81"/>
    <cellStyle name="20% - Accent6 2 6" xfId="82"/>
    <cellStyle name="40% - Accent1" xfId="24" builtinId="31" customBuiltin="1"/>
    <cellStyle name="40% - Accent1 2" xfId="83"/>
    <cellStyle name="40% - Accent1 2 2" xfId="84"/>
    <cellStyle name="40% - Accent1 2 3" xfId="85"/>
    <cellStyle name="40% - Accent1 2 4" xfId="86"/>
    <cellStyle name="40% - Accent1 2 5" xfId="87"/>
    <cellStyle name="40% - Accent1 2 6" xfId="88"/>
    <cellStyle name="40% - Accent2" xfId="28" builtinId="35" customBuiltin="1"/>
    <cellStyle name="40% - Accent2 2" xfId="89"/>
    <cellStyle name="40% - Accent2 2 2" xfId="90"/>
    <cellStyle name="40% - Accent2 2 3" xfId="91"/>
    <cellStyle name="40% - Accent2 2 4" xfId="92"/>
    <cellStyle name="40% - Accent2 2 5" xfId="93"/>
    <cellStyle name="40% - Accent2 2 6" xfId="94"/>
    <cellStyle name="40% - Accent3" xfId="32" builtinId="39" customBuiltin="1"/>
    <cellStyle name="40% - Accent3 2" xfId="95"/>
    <cellStyle name="40% - Accent3 2 2" xfId="96"/>
    <cellStyle name="40% - Accent3 2 3" xfId="97"/>
    <cellStyle name="40% - Accent3 2 4" xfId="98"/>
    <cellStyle name="40% - Accent3 2 5" xfId="99"/>
    <cellStyle name="40% - Accent3 2 6" xfId="100"/>
    <cellStyle name="40% - Accent4" xfId="36" builtinId="43" customBuiltin="1"/>
    <cellStyle name="40% - Accent4 2" xfId="101"/>
    <cellStyle name="40% - Accent4 2 2" xfId="102"/>
    <cellStyle name="40% - Accent4 2 3" xfId="103"/>
    <cellStyle name="40% - Accent4 2 4" xfId="104"/>
    <cellStyle name="40% - Accent4 2 5" xfId="105"/>
    <cellStyle name="40% - Accent4 2 6" xfId="106"/>
    <cellStyle name="40% - Accent5" xfId="40" builtinId="47" customBuiltin="1"/>
    <cellStyle name="40% - Accent5 2" xfId="107"/>
    <cellStyle name="40% - Accent5 2 2" xfId="108"/>
    <cellStyle name="40% - Accent5 2 3" xfId="109"/>
    <cellStyle name="40% - Accent5 2 4" xfId="110"/>
    <cellStyle name="40% - Accent5 2 5" xfId="111"/>
    <cellStyle name="40% - Accent5 2 6" xfId="112"/>
    <cellStyle name="40% - Accent6" xfId="44" builtinId="51" customBuiltin="1"/>
    <cellStyle name="40% - Accent6 2" xfId="113"/>
    <cellStyle name="40% - Accent6 2 2" xfId="114"/>
    <cellStyle name="40% - Accent6 2 3" xfId="115"/>
    <cellStyle name="40% - Accent6 2 4" xfId="116"/>
    <cellStyle name="40% - Accent6 2 5" xfId="117"/>
    <cellStyle name="40% - Accent6 2 6" xfId="118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119"/>
    <cellStyle name="Comma 2 10" xfId="120"/>
    <cellStyle name="Comma 2 11" xfId="121"/>
    <cellStyle name="Comma 2 12" xfId="122"/>
    <cellStyle name="Comma 2 13" xfId="123"/>
    <cellStyle name="Comma 2 14" xfId="124"/>
    <cellStyle name="Comma 2 2" xfId="125"/>
    <cellStyle name="Comma 2 3" xfId="126"/>
    <cellStyle name="Comma 2 4" xfId="127"/>
    <cellStyle name="Comma 2 5" xfId="128"/>
    <cellStyle name="Comma 2 6" xfId="129"/>
    <cellStyle name="Comma 2 7" xfId="130"/>
    <cellStyle name="Comma 2 8" xfId="131"/>
    <cellStyle name="Comma 2 9" xfId="132"/>
    <cellStyle name="Comma 3" xfId="4"/>
    <cellStyle name="Comma 6" xfId="133"/>
    <cellStyle name="Comma 7" xfId="134"/>
    <cellStyle name="Comma 8" xfId="5"/>
    <cellStyle name="Comma 9" xfId="135"/>
    <cellStyle name="Comma_Sheet2" xfId="208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 2" xfId="136"/>
    <cellStyle name="Normal 11 2" xfId="137"/>
    <cellStyle name="Normal 12 2" xfId="138"/>
    <cellStyle name="Normal 2" xfId="139"/>
    <cellStyle name="Normal 2 10" xfId="140"/>
    <cellStyle name="Normal 2 11" xfId="141"/>
    <cellStyle name="Normal 2 11 2" xfId="142"/>
    <cellStyle name="Normal 2 12" xfId="143"/>
    <cellStyle name="Normal 2 12 2" xfId="144"/>
    <cellStyle name="Normal 2 13" xfId="145"/>
    <cellStyle name="Normal 2 13 2" xfId="146"/>
    <cellStyle name="Normal 2 14" xfId="147"/>
    <cellStyle name="Normal 2 14 2" xfId="148"/>
    <cellStyle name="Normal 2 15" xfId="149"/>
    <cellStyle name="Normal 2 2" xfId="150"/>
    <cellStyle name="Normal 2 3" xfId="151"/>
    <cellStyle name="Normal 2 4" xfId="152"/>
    <cellStyle name="Normal 2 5" xfId="153"/>
    <cellStyle name="Normal 2 6" xfId="154"/>
    <cellStyle name="Normal 2 7" xfId="155"/>
    <cellStyle name="Normal 2 8" xfId="156"/>
    <cellStyle name="Normal 2 9" xfId="157"/>
    <cellStyle name="Normal 3" xfId="2"/>
    <cellStyle name="Normal 3 2" xfId="158"/>
    <cellStyle name="Normal 3 3" xfId="159"/>
    <cellStyle name="Normal 3 4" xfId="160"/>
    <cellStyle name="Normal 3 5" xfId="161"/>
    <cellStyle name="Normal 3 6" xfId="162"/>
    <cellStyle name="Normal 3 7" xfId="163"/>
    <cellStyle name="Normal 3 8" xfId="164"/>
    <cellStyle name="Normal 3 9" xfId="165"/>
    <cellStyle name="Normal 4" xfId="3"/>
    <cellStyle name="Normal 4 2" xfId="167"/>
    <cellStyle name="Normal 4 3" xfId="166"/>
    <cellStyle name="Normal 5" xfId="46"/>
    <cellStyle name="Normal 5 2" xfId="168"/>
    <cellStyle name="Normal 5 3" xfId="169"/>
    <cellStyle name="Normal 5 4" xfId="170"/>
    <cellStyle name="Normal 5 5" xfId="171"/>
    <cellStyle name="Normal 5 6" xfId="204"/>
    <cellStyle name="Normal 6" xfId="172"/>
    <cellStyle name="Normal 7" xfId="205"/>
    <cellStyle name="Normal 8" xfId="173"/>
    <cellStyle name="Normal_Sheet1" xfId="206"/>
    <cellStyle name="Normal_Sheet2" xfId="207"/>
    <cellStyle name="Note 2" xfId="174"/>
    <cellStyle name="Note 2 2" xfId="175"/>
    <cellStyle name="Note 3" xfId="176"/>
    <cellStyle name="Note 3 2" xfId="177"/>
    <cellStyle name="Note 3 3" xfId="178"/>
    <cellStyle name="Note 3 4" xfId="179"/>
    <cellStyle name="Note 3 5" xfId="180"/>
    <cellStyle name="Note 3 6" xfId="181"/>
    <cellStyle name="Note 4" xfId="182"/>
    <cellStyle name="Note 4 2" xfId="183"/>
    <cellStyle name="Note 5" xfId="184"/>
    <cellStyle name="Note 6" xfId="185"/>
    <cellStyle name="Note 7" xfId="186"/>
    <cellStyle name="Note 8" xfId="187"/>
    <cellStyle name="Output" xfId="15" builtinId="21" customBuiltin="1"/>
    <cellStyle name="Percent 2" xfId="189"/>
    <cellStyle name="Percent 2 10" xfId="190"/>
    <cellStyle name="Percent 2 11" xfId="191"/>
    <cellStyle name="Percent 2 12" xfId="192"/>
    <cellStyle name="Percent 2 13" xfId="193"/>
    <cellStyle name="Percent 2 14" xfId="194"/>
    <cellStyle name="Percent 2 2" xfId="195"/>
    <cellStyle name="Percent 2 3" xfId="196"/>
    <cellStyle name="Percent 2 4" xfId="197"/>
    <cellStyle name="Percent 2 5" xfId="198"/>
    <cellStyle name="Percent 2 6" xfId="199"/>
    <cellStyle name="Percent 2 7" xfId="200"/>
    <cellStyle name="Percent 2 8" xfId="201"/>
    <cellStyle name="Percent 2 9" xfId="202"/>
    <cellStyle name="Percent 3" xfId="188"/>
    <cellStyle name="Percent 4" xfId="203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91"/>
  <sheetViews>
    <sheetView tabSelected="1" zoomScaleNormal="100" zoomScaleSheetLayoutView="80" workbookViewId="0">
      <pane xSplit="2" ySplit="5" topLeftCell="C64" activePane="bottomRight" state="frozen"/>
      <selection pane="topRight" activeCell="B1" sqref="B1"/>
      <selection pane="bottomLeft" activeCell="A6" sqref="A6"/>
      <selection pane="bottomRight" activeCell="F88" sqref="F88"/>
    </sheetView>
  </sheetViews>
  <sheetFormatPr defaultColWidth="9.140625" defaultRowHeight="15"/>
  <cols>
    <col min="1" max="1" width="5.42578125" style="71" customWidth="1"/>
    <col min="2" max="2" width="15.7109375" style="71" customWidth="1"/>
    <col min="3" max="3" width="24" style="71" customWidth="1"/>
    <col min="4" max="4" width="16" style="71" customWidth="1"/>
    <col min="5" max="5" width="14.42578125" style="96" customWidth="1"/>
    <col min="6" max="6" width="15.28515625" style="71" customWidth="1"/>
    <col min="7" max="7" width="13.7109375" style="71" customWidth="1"/>
    <col min="8" max="8" width="13" style="71" customWidth="1"/>
    <col min="9" max="9" width="12.85546875" style="71" customWidth="1"/>
    <col min="10" max="10" width="14.28515625" style="71" customWidth="1"/>
    <col min="11" max="12" width="12.85546875" style="71" customWidth="1"/>
    <col min="13" max="13" width="11.5703125" style="71" customWidth="1"/>
    <col min="14" max="14" width="12.140625" style="71" customWidth="1"/>
    <col min="15" max="15" width="10.140625" style="71" customWidth="1"/>
    <col min="16" max="16" width="13.42578125" style="71" customWidth="1"/>
    <col min="17" max="17" width="11.28515625" style="71" customWidth="1"/>
    <col min="18" max="18" width="12.7109375" style="71" customWidth="1"/>
    <col min="19" max="19" width="11.28515625" style="71" customWidth="1"/>
    <col min="20" max="20" width="11.42578125" style="71" customWidth="1"/>
    <col min="21" max="21" width="9.140625" style="71"/>
    <col min="22" max="22" width="11.28515625" style="71" customWidth="1"/>
    <col min="23" max="16384" width="9.140625" style="71"/>
  </cols>
  <sheetData>
    <row r="1" spans="1:22" ht="26.25" customHeight="1">
      <c r="A1" s="68" t="str">
        <f>IF(L!$A$1=1,L!G2,IF(L!$A$1=2,L!G11,L!G21))</f>
        <v>Tabela 1: Pagesat</v>
      </c>
      <c r="B1" s="69"/>
      <c r="C1" s="70"/>
      <c r="D1" s="316" t="s">
        <v>609</v>
      </c>
      <c r="E1" s="72"/>
      <c r="F1" s="70"/>
      <c r="G1" s="70"/>
      <c r="H1" s="70"/>
      <c r="I1" s="70"/>
      <c r="J1" s="70"/>
      <c r="M1" s="97"/>
      <c r="N1"/>
      <c r="O1" s="97"/>
      <c r="P1" s="97"/>
      <c r="R1" s="97"/>
    </row>
    <row r="2" spans="1:22" ht="18.75" customHeight="1">
      <c r="A2" s="107" t="s">
        <v>876</v>
      </c>
      <c r="B2" s="73"/>
      <c r="C2" s="73"/>
      <c r="D2" s="317"/>
      <c r="E2" s="74"/>
      <c r="F2" s="74"/>
      <c r="G2" s="74"/>
      <c r="H2" s="74"/>
      <c r="I2" s="74"/>
      <c r="J2" s="74"/>
      <c r="O2" s="97"/>
    </row>
    <row r="3" spans="1:22" s="75" customFormat="1" ht="12.75" customHeight="1">
      <c r="A3" s="318"/>
      <c r="B3" s="318"/>
      <c r="C3" s="76"/>
      <c r="D3" s="78"/>
      <c r="E3" s="77"/>
      <c r="F3" s="79"/>
      <c r="G3" s="79"/>
      <c r="H3" s="79"/>
      <c r="I3" s="79"/>
      <c r="J3" s="80"/>
      <c r="K3" s="77"/>
      <c r="L3" s="79"/>
      <c r="M3" s="79"/>
      <c r="N3" s="79"/>
      <c r="O3" s="79"/>
      <c r="P3" s="80"/>
      <c r="Q3" s="77"/>
      <c r="R3" s="79"/>
      <c r="S3" s="79"/>
      <c r="T3" s="79"/>
      <c r="U3" s="79"/>
      <c r="V3" s="80"/>
    </row>
    <row r="4" spans="1:22" s="75" customFormat="1" ht="12.75" customHeight="1">
      <c r="A4" s="318"/>
      <c r="B4" s="318"/>
      <c r="C4" s="76"/>
      <c r="D4" s="78"/>
      <c r="E4" s="81"/>
      <c r="F4" s="83"/>
      <c r="G4" s="82"/>
      <c r="H4" s="82"/>
      <c r="I4" s="82"/>
      <c r="J4" s="82"/>
      <c r="K4" s="81"/>
      <c r="L4" s="100"/>
      <c r="M4" s="82"/>
      <c r="N4" s="82"/>
      <c r="O4" s="82"/>
      <c r="P4" s="82"/>
      <c r="Q4" s="81"/>
      <c r="R4" s="100"/>
      <c r="S4" s="82"/>
      <c r="T4" s="82"/>
      <c r="U4" s="82"/>
      <c r="V4" s="82"/>
    </row>
    <row r="5" spans="1:22" s="85" customFormat="1" ht="57" customHeight="1">
      <c r="A5" s="319"/>
      <c r="B5" s="319"/>
      <c r="C5" s="84" t="str">
        <f>IF(L!$A$1=1,L!I4,IF(L!$A$1=2,L!I13,L!I23))</f>
        <v>Gjithsejt Pagesat</v>
      </c>
      <c r="D5" s="204" t="str">
        <f>IF(L!$A$1=1,L!J4,IF(L!$A$1=2,L!J13,L!J23))</f>
        <v>Shpenzimet</v>
      </c>
      <c r="E5" s="204" t="str">
        <f>IF(L!$A$1=1,L!S4,IF(L!$A$1=2,L!S13,L!S23))</f>
        <v>Qeveria Lokale</v>
      </c>
      <c r="F5" s="84" t="str">
        <f>IF(L!$A$1=1,L!T4,IF(L!$A$1=2,L!T13,L!T23))</f>
        <v>Paga</v>
      </c>
      <c r="G5" s="84" t="str">
        <f>IF(L!$A$1=1,L!U4,IF(L!$A$1=2,L!U13,L!U23))</f>
        <v>Mallra dhe shërbime</v>
      </c>
      <c r="H5" s="84" t="str">
        <f>IF(L!$A$1=1,L!V4,IF(L!$A$1=2,L!V13,L!V23))</f>
        <v>Shpenzime komunale</v>
      </c>
      <c r="I5" s="84" t="str">
        <f>IF(L!$A$1=1,L!W4,IF(L!$A$1=2,L!W13,L!W23))</f>
        <v>Subvencione dhe Transfere</v>
      </c>
      <c r="J5" s="84" t="str">
        <f>IF(L!$A$1=1,L!X4,IF(L!$A$1=2,L!X13,L!X23))</f>
        <v>Shpenzime Kapitale</v>
      </c>
      <c r="K5" s="204" t="s">
        <v>868</v>
      </c>
      <c r="L5" s="84" t="s">
        <v>0</v>
      </c>
      <c r="M5" s="84" t="s">
        <v>32</v>
      </c>
      <c r="N5" s="84" t="s">
        <v>33</v>
      </c>
      <c r="O5" s="205" t="s">
        <v>21</v>
      </c>
      <c r="P5" s="84" t="s">
        <v>35</v>
      </c>
      <c r="Q5" s="205" t="s">
        <v>869</v>
      </c>
      <c r="R5" s="84" t="s">
        <v>0</v>
      </c>
      <c r="S5" s="84" t="s">
        <v>32</v>
      </c>
      <c r="T5" s="84" t="s">
        <v>33</v>
      </c>
      <c r="U5" s="205" t="s">
        <v>21</v>
      </c>
      <c r="V5" s="84" t="s">
        <v>35</v>
      </c>
    </row>
    <row r="6" spans="1:22">
      <c r="A6" s="320">
        <v>2015</v>
      </c>
      <c r="B6" s="86" t="str">
        <f>IF(L!$A$1=1,L!B127,IF(L!$A$1=2,L!C127,L!D127))</f>
        <v>2015 Janar</v>
      </c>
      <c r="C6" s="87">
        <f>E6+K6+Q6</f>
        <v>1282678.73</v>
      </c>
      <c r="D6" s="203">
        <f>+E6+K6+Q6</f>
        <v>1282678.73</v>
      </c>
      <c r="E6" s="203">
        <f>+F6+G6+H6+I6+J6</f>
        <v>338364.02</v>
      </c>
      <c r="F6" s="87">
        <v>151147.29999999999</v>
      </c>
      <c r="G6" s="87">
        <v>96190.16</v>
      </c>
      <c r="H6" s="87">
        <v>91026.559999999998</v>
      </c>
      <c r="I6" s="87"/>
      <c r="J6" s="87"/>
      <c r="K6" s="203">
        <f>+L6+M6+N6+O6+P6</f>
        <v>693924.45</v>
      </c>
      <c r="L6" s="135">
        <v>693517.72</v>
      </c>
      <c r="M6" s="135"/>
      <c r="N6" s="135">
        <v>406.73</v>
      </c>
      <c r="O6" s="135"/>
      <c r="P6" s="135"/>
      <c r="Q6" s="87">
        <f t="shared" ref="Q6:Q30" si="0">SUM(R6:V6)</f>
        <v>250390.26</v>
      </c>
      <c r="R6" s="87">
        <v>186710.75</v>
      </c>
      <c r="S6" s="87">
        <v>55562.48</v>
      </c>
      <c r="T6" s="87">
        <v>8117.03</v>
      </c>
      <c r="U6" s="87"/>
      <c r="V6" s="87"/>
    </row>
    <row r="7" spans="1:22">
      <c r="A7" s="320"/>
      <c r="B7" s="86" t="str">
        <f>IF(L!$A$1=1,L!B128,IF(L!$A$1=2,L!C128,L!D128))</f>
        <v>2015 Shkurt</v>
      </c>
      <c r="C7" s="87">
        <f t="shared" ref="C7:C17" si="1">E7+K7+Q7</f>
        <v>1622677.46</v>
      </c>
      <c r="D7" s="87">
        <f t="shared" ref="D7:D17" si="2">+E7+K7+Q7</f>
        <v>1622677.46</v>
      </c>
      <c r="E7" s="87">
        <f t="shared" ref="E7:E17" si="3">+F7+G7+H7+I7+J7</f>
        <v>396424.47000000003</v>
      </c>
      <c r="F7" s="87">
        <f>148149.35+5000</f>
        <v>153149.35</v>
      </c>
      <c r="G7" s="87">
        <v>89876.54</v>
      </c>
      <c r="H7" s="87">
        <v>42504.66</v>
      </c>
      <c r="I7" s="87">
        <v>30556.12</v>
      </c>
      <c r="J7" s="139">
        <v>80337.8</v>
      </c>
      <c r="K7" s="87">
        <f t="shared" ref="K7:K17" si="4">+L7+M7+N7+O7+P7</f>
        <v>911300.81</v>
      </c>
      <c r="L7" s="135">
        <v>697951.06</v>
      </c>
      <c r="M7" s="135">
        <v>189758.97</v>
      </c>
      <c r="N7" s="135">
        <v>22596.78</v>
      </c>
      <c r="O7" s="135"/>
      <c r="P7" s="135">
        <v>994</v>
      </c>
      <c r="Q7" s="87">
        <f t="shared" si="0"/>
        <v>314952.18</v>
      </c>
      <c r="R7" s="87">
        <v>186008.3</v>
      </c>
      <c r="S7" s="87">
        <v>111257.67</v>
      </c>
      <c r="T7" s="87">
        <v>17286.21</v>
      </c>
      <c r="U7" s="87">
        <v>400</v>
      </c>
      <c r="V7" s="87"/>
    </row>
    <row r="8" spans="1:22">
      <c r="A8" s="320"/>
      <c r="B8" s="86" t="str">
        <f>IF(L!$A$1=1,L!B129,IF(L!$A$1=2,L!C129,L!D129))</f>
        <v xml:space="preserve">2015 Mars </v>
      </c>
      <c r="C8" s="87">
        <f t="shared" si="1"/>
        <v>1310207.73</v>
      </c>
      <c r="D8" s="87">
        <f t="shared" si="2"/>
        <v>1310207.73</v>
      </c>
      <c r="E8" s="87">
        <f t="shared" si="3"/>
        <v>309807.13</v>
      </c>
      <c r="F8" s="87">
        <f>147430.1+5000</f>
        <v>152430.1</v>
      </c>
      <c r="G8" s="87">
        <v>73634.84</v>
      </c>
      <c r="H8" s="87">
        <v>20579.400000000001</v>
      </c>
      <c r="I8" s="87">
        <v>48862.79</v>
      </c>
      <c r="J8" s="139">
        <v>14300</v>
      </c>
      <c r="K8" s="87">
        <f t="shared" si="4"/>
        <v>775463.41</v>
      </c>
      <c r="L8" s="135">
        <v>718788.33</v>
      </c>
      <c r="M8" s="135">
        <v>46593.55</v>
      </c>
      <c r="N8" s="135">
        <v>5681.53</v>
      </c>
      <c r="O8" s="135"/>
      <c r="P8" s="135">
        <v>4400</v>
      </c>
      <c r="Q8" s="87">
        <f t="shared" si="0"/>
        <v>224937.19</v>
      </c>
      <c r="R8" s="87">
        <v>197126.44</v>
      </c>
      <c r="S8" s="87">
        <v>17193.36</v>
      </c>
      <c r="T8" s="87">
        <v>10417.39</v>
      </c>
      <c r="U8" s="87">
        <v>200</v>
      </c>
      <c r="V8" s="87"/>
    </row>
    <row r="9" spans="1:22">
      <c r="A9" s="320"/>
      <c r="B9" s="86" t="str">
        <f>IF(L!$A$1=1,L!B130,IF(L!$A$1=2,L!C130,L!D130))</f>
        <v>2015 Prill</v>
      </c>
      <c r="C9" s="87">
        <f t="shared" si="1"/>
        <v>2073485.52</v>
      </c>
      <c r="D9" s="87">
        <f t="shared" si="2"/>
        <v>2073485.52</v>
      </c>
      <c r="E9" s="87">
        <f t="shared" si="3"/>
        <v>942316.22</v>
      </c>
      <c r="F9" s="87">
        <f>146103.41+10000</f>
        <v>156103.41</v>
      </c>
      <c r="G9" s="87">
        <v>211680.55</v>
      </c>
      <c r="H9" s="87">
        <v>64680.44</v>
      </c>
      <c r="I9" s="87">
        <v>39855</v>
      </c>
      <c r="J9" s="139">
        <v>469996.82</v>
      </c>
      <c r="K9" s="87">
        <f t="shared" si="4"/>
        <v>848949.66000000015</v>
      </c>
      <c r="L9" s="135">
        <v>722698.8</v>
      </c>
      <c r="M9" s="135">
        <v>67562.39</v>
      </c>
      <c r="N9" s="135">
        <v>9252.67</v>
      </c>
      <c r="O9" s="135"/>
      <c r="P9" s="135">
        <v>49435.8</v>
      </c>
      <c r="Q9" s="87">
        <f t="shared" si="0"/>
        <v>282219.63999999996</v>
      </c>
      <c r="R9" s="87">
        <v>194832.33999999997</v>
      </c>
      <c r="S9" s="87">
        <v>32965</v>
      </c>
      <c r="T9" s="87">
        <v>12358</v>
      </c>
      <c r="U9" s="87">
        <v>1800</v>
      </c>
      <c r="V9" s="87">
        <v>40264.300000000003</v>
      </c>
    </row>
    <row r="10" spans="1:22">
      <c r="A10" s="320"/>
      <c r="B10" s="86" t="str">
        <f>IF(L!$A$1=1,L!B131,IF(L!$A$1=2,L!C131,L!D131))</f>
        <v>2015 Maj</v>
      </c>
      <c r="C10" s="87">
        <f t="shared" si="1"/>
        <v>2071656.6600000001</v>
      </c>
      <c r="D10" s="87">
        <f t="shared" si="2"/>
        <v>2071656.6600000001</v>
      </c>
      <c r="E10" s="87">
        <f t="shared" si="3"/>
        <v>970546.7</v>
      </c>
      <c r="F10" s="87">
        <v>156063.25000000003</v>
      </c>
      <c r="G10" s="87">
        <v>55722.69</v>
      </c>
      <c r="H10" s="87">
        <v>31691.4</v>
      </c>
      <c r="I10" s="87">
        <v>80922</v>
      </c>
      <c r="J10" s="139">
        <v>646147.36</v>
      </c>
      <c r="K10" s="87">
        <f t="shared" si="4"/>
        <v>860673.29999999993</v>
      </c>
      <c r="L10" s="135">
        <v>739224.21</v>
      </c>
      <c r="M10" s="135">
        <v>79660.009999999995</v>
      </c>
      <c r="N10" s="135">
        <v>18925.080000000002</v>
      </c>
      <c r="O10" s="135"/>
      <c r="P10" s="135">
        <v>22864</v>
      </c>
      <c r="Q10" s="87">
        <f t="shared" si="0"/>
        <v>240436.66000000003</v>
      </c>
      <c r="R10" s="87">
        <v>194230.68000000002</v>
      </c>
      <c r="S10" s="87">
        <v>34558.239999999998</v>
      </c>
      <c r="T10" s="87">
        <v>3901.26</v>
      </c>
      <c r="U10" s="87">
        <v>6750</v>
      </c>
      <c r="V10" s="87">
        <v>996.48</v>
      </c>
    </row>
    <row r="11" spans="1:22">
      <c r="A11" s="320"/>
      <c r="B11" s="86" t="str">
        <f>IF(L!$A$1=1,L!B132,IF(L!$A$1=2,L!C132,L!D132))</f>
        <v>2015 Qershor</v>
      </c>
      <c r="C11" s="87">
        <f t="shared" si="1"/>
        <v>1410062.95</v>
      </c>
      <c r="D11" s="87">
        <f t="shared" si="2"/>
        <v>1410062.95</v>
      </c>
      <c r="E11" s="87">
        <f t="shared" si="3"/>
        <v>355793.65</v>
      </c>
      <c r="F11" s="87">
        <v>156045.86000000002</v>
      </c>
      <c r="G11" s="87">
        <v>44781.29</v>
      </c>
      <c r="H11" s="87">
        <v>23279.5</v>
      </c>
      <c r="I11" s="87">
        <v>40450</v>
      </c>
      <c r="J11" s="139">
        <v>91237</v>
      </c>
      <c r="K11" s="87">
        <f t="shared" si="4"/>
        <v>814283.62000000011</v>
      </c>
      <c r="L11" s="135">
        <v>735400.05000000016</v>
      </c>
      <c r="M11" s="135">
        <v>51581.59</v>
      </c>
      <c r="N11" s="135">
        <v>8189.98</v>
      </c>
      <c r="O11" s="135"/>
      <c r="P11" s="135">
        <v>19112</v>
      </c>
      <c r="Q11" s="87">
        <f t="shared" si="0"/>
        <v>239985.68000000002</v>
      </c>
      <c r="R11" s="87">
        <v>207116.79</v>
      </c>
      <c r="S11" s="87">
        <v>29909</v>
      </c>
      <c r="T11" s="87">
        <v>1659.89</v>
      </c>
      <c r="U11" s="87">
        <v>1300</v>
      </c>
      <c r="V11" s="87"/>
    </row>
    <row r="12" spans="1:22">
      <c r="A12" s="320"/>
      <c r="B12" s="86" t="str">
        <f>IF(L!$A$1=1,L!B133,IF(L!$A$1=2,L!C133,L!D133))</f>
        <v>2015 Korrik</v>
      </c>
      <c r="C12" s="87">
        <f t="shared" si="1"/>
        <v>1581693.07</v>
      </c>
      <c r="D12" s="87">
        <f t="shared" si="2"/>
        <v>1581693.07</v>
      </c>
      <c r="E12" s="87">
        <f t="shared" si="3"/>
        <v>492987.14999999997</v>
      </c>
      <c r="F12" s="87">
        <v>156882.58999999997</v>
      </c>
      <c r="G12" s="87">
        <v>51733.51</v>
      </c>
      <c r="H12" s="87">
        <v>561.87</v>
      </c>
      <c r="I12" s="87">
        <v>20277</v>
      </c>
      <c r="J12" s="139">
        <v>263532.18</v>
      </c>
      <c r="K12" s="87">
        <f t="shared" si="4"/>
        <v>818709.62</v>
      </c>
      <c r="L12" s="135">
        <v>742826</v>
      </c>
      <c r="M12" s="135">
        <v>49513.24</v>
      </c>
      <c r="N12" s="135">
        <v>5792.63</v>
      </c>
      <c r="O12" s="135"/>
      <c r="P12" s="135">
        <v>20577.75</v>
      </c>
      <c r="Q12" s="87">
        <f t="shared" si="0"/>
        <v>269996.3</v>
      </c>
      <c r="R12" s="87">
        <v>219237.8</v>
      </c>
      <c r="S12" s="87">
        <v>39241.97</v>
      </c>
      <c r="T12" s="87">
        <v>238.53</v>
      </c>
      <c r="U12" s="87">
        <v>1350</v>
      </c>
      <c r="V12" s="87">
        <v>9928</v>
      </c>
    </row>
    <row r="13" spans="1:22">
      <c r="A13" s="320"/>
      <c r="B13" s="86" t="str">
        <f>IF(L!$A$1=1,L!B134,IF(L!$A$1=2,L!C134,L!D134))</f>
        <v>2015 Gusht</v>
      </c>
      <c r="C13" s="87">
        <f t="shared" si="1"/>
        <v>1426997.6800000002</v>
      </c>
      <c r="D13" s="87">
        <f t="shared" si="2"/>
        <v>1426997.6800000002</v>
      </c>
      <c r="E13" s="87">
        <f t="shared" si="3"/>
        <v>358419.51</v>
      </c>
      <c r="F13" s="87">
        <f>156420.78+1000</f>
        <v>157420.78</v>
      </c>
      <c r="G13" s="87">
        <v>102545.78</v>
      </c>
      <c r="H13" s="87">
        <v>24241.45</v>
      </c>
      <c r="I13" s="87">
        <v>23711</v>
      </c>
      <c r="J13" s="139">
        <v>50500.5</v>
      </c>
      <c r="K13" s="87">
        <f t="shared" si="4"/>
        <v>824788.65000000014</v>
      </c>
      <c r="L13" s="136">
        <v>733093.49000000011</v>
      </c>
      <c r="M13" s="136">
        <v>46965.31</v>
      </c>
      <c r="N13" s="136">
        <v>156.04</v>
      </c>
      <c r="O13" s="136"/>
      <c r="P13" s="136">
        <v>44573.81</v>
      </c>
      <c r="Q13" s="87">
        <f t="shared" si="0"/>
        <v>243789.52000000002</v>
      </c>
      <c r="R13" s="87">
        <v>204382.53</v>
      </c>
      <c r="S13" s="71">
        <v>31766.45</v>
      </c>
      <c r="T13" s="71">
        <v>5885.54</v>
      </c>
      <c r="U13" s="71">
        <v>1755</v>
      </c>
      <c r="V13" s="87"/>
    </row>
    <row r="14" spans="1:22">
      <c r="A14" s="320"/>
      <c r="B14" s="86" t="str">
        <f>IF(L!$A$1=1,L!B135,IF(L!$A$1=2,L!C135,L!D135))</f>
        <v>2015 Shtator</v>
      </c>
      <c r="C14" s="87">
        <f t="shared" si="1"/>
        <v>1731766.1700000002</v>
      </c>
      <c r="D14" s="87">
        <f t="shared" si="2"/>
        <v>1731766.1700000002</v>
      </c>
      <c r="E14" s="87">
        <f t="shared" si="3"/>
        <v>540131.15</v>
      </c>
      <c r="F14" s="87">
        <v>156250</v>
      </c>
      <c r="G14" s="87">
        <v>32194.23</v>
      </c>
      <c r="H14" s="87">
        <v>17062.71</v>
      </c>
      <c r="I14" s="87">
        <v>13000</v>
      </c>
      <c r="J14" s="139">
        <v>321624.21000000002</v>
      </c>
      <c r="K14" s="87">
        <f t="shared" si="4"/>
        <v>964976.09000000008</v>
      </c>
      <c r="L14" s="135">
        <v>722199.81</v>
      </c>
      <c r="M14" s="136">
        <v>77083.41</v>
      </c>
      <c r="N14" s="136">
        <v>21805</v>
      </c>
      <c r="O14" s="136"/>
      <c r="P14" s="136">
        <v>143887.87</v>
      </c>
      <c r="Q14" s="87">
        <f t="shared" si="0"/>
        <v>226658.93000000002</v>
      </c>
      <c r="R14" s="87">
        <v>206689.26</v>
      </c>
      <c r="S14" s="87">
        <v>17817.98</v>
      </c>
      <c r="T14" s="87">
        <v>2151.69</v>
      </c>
      <c r="U14" s="87"/>
      <c r="V14" s="87"/>
    </row>
    <row r="15" spans="1:22">
      <c r="A15" s="320"/>
      <c r="B15" s="86" t="str">
        <f>IF(L!$A$1=1,L!B136,IF(L!$A$1=2,L!C136,L!D136))</f>
        <v>2015 Tetor</v>
      </c>
      <c r="C15" s="87">
        <f t="shared" si="1"/>
        <v>1850054.1400000001</v>
      </c>
      <c r="D15" s="87">
        <f t="shared" si="2"/>
        <v>1850054.1400000001</v>
      </c>
      <c r="E15" s="87">
        <f t="shared" si="3"/>
        <v>678373.11</v>
      </c>
      <c r="F15" s="87">
        <v>156800</v>
      </c>
      <c r="G15" s="87">
        <v>51953.05</v>
      </c>
      <c r="H15" s="87">
        <v>11284.95</v>
      </c>
      <c r="I15" s="87">
        <v>15700</v>
      </c>
      <c r="J15" s="139">
        <v>442635.11</v>
      </c>
      <c r="K15" s="87">
        <f t="shared" si="4"/>
        <v>911838.40000000026</v>
      </c>
      <c r="L15" s="135">
        <v>743452.19000000018</v>
      </c>
      <c r="M15" s="135">
        <v>71011.66</v>
      </c>
      <c r="N15" s="135">
        <v>2960.75</v>
      </c>
      <c r="O15" s="135"/>
      <c r="P15" s="135">
        <v>94413.8</v>
      </c>
      <c r="Q15" s="87">
        <f t="shared" si="0"/>
        <v>259842.62999999998</v>
      </c>
      <c r="R15" s="87">
        <v>205700.90999999997</v>
      </c>
      <c r="S15" s="87">
        <v>21534.63</v>
      </c>
      <c r="T15" s="87">
        <v>14984.07</v>
      </c>
      <c r="U15" s="87"/>
      <c r="V15" s="87">
        <v>17623.02</v>
      </c>
    </row>
    <row r="16" spans="1:22">
      <c r="A16" s="320"/>
      <c r="B16" s="86" t="str">
        <f>IF(L!$A$1=1,L!B137,IF(L!$A$1=2,L!C137,L!D137))</f>
        <v xml:space="preserve">2015 Nëntor </v>
      </c>
      <c r="C16" s="87">
        <f t="shared" si="1"/>
        <v>1812404.4000000001</v>
      </c>
      <c r="D16" s="87">
        <f t="shared" si="2"/>
        <v>1812404.4000000001</v>
      </c>
      <c r="E16" s="87">
        <f t="shared" si="3"/>
        <v>600270.98</v>
      </c>
      <c r="F16" s="87">
        <v>155682.25</v>
      </c>
      <c r="G16" s="87">
        <v>67918.490000000005</v>
      </c>
      <c r="H16" s="87">
        <f>23576</f>
        <v>23576</v>
      </c>
      <c r="I16" s="87">
        <v>9000</v>
      </c>
      <c r="J16" s="139">
        <f>344094.24</f>
        <v>344094.24</v>
      </c>
      <c r="K16" s="87">
        <f t="shared" si="4"/>
        <v>955241.60000000021</v>
      </c>
      <c r="L16" s="135">
        <v>740058.43000000017</v>
      </c>
      <c r="M16" s="135">
        <v>27725.66</v>
      </c>
      <c r="N16" s="135">
        <v>11051.75</v>
      </c>
      <c r="O16" s="135"/>
      <c r="P16" s="135">
        <v>176405.76000000001</v>
      </c>
      <c r="Q16" s="87">
        <f t="shared" si="0"/>
        <v>256891.81999999998</v>
      </c>
      <c r="R16" s="87">
        <v>202615.61</v>
      </c>
      <c r="S16" s="87">
        <v>24103.73</v>
      </c>
      <c r="T16" s="87">
        <v>11773.58</v>
      </c>
      <c r="U16" s="87">
        <v>7500</v>
      </c>
      <c r="V16" s="87">
        <v>10898.9</v>
      </c>
    </row>
    <row r="17" spans="1:22">
      <c r="A17" s="320"/>
      <c r="B17" s="86" t="str">
        <f>IF(L!$A$1=1,L!B138,IF(L!$A$1=2,L!C138,L!D138))</f>
        <v>2015 Dhjetor</v>
      </c>
      <c r="C17" s="87">
        <f t="shared" si="1"/>
        <v>2972826.87</v>
      </c>
      <c r="D17" s="87">
        <f t="shared" si="2"/>
        <v>2972826.87</v>
      </c>
      <c r="E17" s="87">
        <f t="shared" si="3"/>
        <v>1491269.56</v>
      </c>
      <c r="F17" s="87">
        <v>160482</v>
      </c>
      <c r="G17" s="87">
        <v>117033.68</v>
      </c>
      <c r="H17" s="87">
        <f>36547.38-4663.5-1301</f>
        <v>30582.879999999997</v>
      </c>
      <c r="I17" s="87">
        <v>7178</v>
      </c>
      <c r="J17" s="139">
        <v>1175993</v>
      </c>
      <c r="K17" s="87">
        <f t="shared" si="4"/>
        <v>1130683.1600000001</v>
      </c>
      <c r="L17" s="135">
        <f>738300.14-349</f>
        <v>737951.14</v>
      </c>
      <c r="M17" s="135">
        <v>77132.929999999993</v>
      </c>
      <c r="N17" s="135">
        <v>22746</v>
      </c>
      <c r="O17" s="135"/>
      <c r="P17" s="135">
        <f>284122.09+8731</f>
        <v>292853.09000000003</v>
      </c>
      <c r="Q17" s="87">
        <f t="shared" si="0"/>
        <v>350874.15</v>
      </c>
      <c r="R17" s="87">
        <v>202297.75999999998</v>
      </c>
      <c r="S17" s="87">
        <v>66926</v>
      </c>
      <c r="T17" s="87">
        <v>6822.89</v>
      </c>
      <c r="U17" s="87">
        <v>8645</v>
      </c>
      <c r="V17" s="87">
        <v>66182.5</v>
      </c>
    </row>
    <row r="18" spans="1:22">
      <c r="A18" s="320"/>
      <c r="B18" s="89" t="str">
        <f>IF(L!$A$1=1,L!B139,IF(L!$A$1=2,L!C139,L!D139))</f>
        <v>Gjithsej 2015</v>
      </c>
      <c r="C18" s="90">
        <f t="shared" ref="C18:C44" si="5">E18+K18+Q18</f>
        <v>21146511.380000003</v>
      </c>
      <c r="D18" s="91">
        <f>SUM(D6:D17)</f>
        <v>21146511.379999999</v>
      </c>
      <c r="E18" s="91">
        <f>SUM(E6:E17)</f>
        <v>7474703.6500000004</v>
      </c>
      <c r="F18" s="91">
        <f t="shared" ref="F18:V18" si="6">SUM(F6:F17)</f>
        <v>1868456.89</v>
      </c>
      <c r="G18" s="91">
        <f t="shared" si="6"/>
        <v>995264.81</v>
      </c>
      <c r="H18" s="91">
        <f t="shared" si="6"/>
        <v>381071.82</v>
      </c>
      <c r="I18" s="91">
        <f t="shared" si="6"/>
        <v>329511.91000000003</v>
      </c>
      <c r="J18" s="91">
        <f t="shared" si="6"/>
        <v>3900398.2199999997</v>
      </c>
      <c r="K18" s="91">
        <f>SUM(K6:K17)</f>
        <v>10510832.77</v>
      </c>
      <c r="L18" s="91">
        <f t="shared" si="6"/>
        <v>8727161.2300000023</v>
      </c>
      <c r="M18" s="91">
        <f t="shared" si="6"/>
        <v>784588.7200000002</v>
      </c>
      <c r="N18" s="91">
        <f t="shared" si="6"/>
        <v>129564.94</v>
      </c>
      <c r="O18" s="91">
        <f t="shared" si="6"/>
        <v>0</v>
      </c>
      <c r="P18" s="91">
        <f t="shared" si="6"/>
        <v>869517.88000000012</v>
      </c>
      <c r="Q18" s="91">
        <f t="shared" si="6"/>
        <v>3160974.9599999995</v>
      </c>
      <c r="R18" s="91">
        <f t="shared" si="6"/>
        <v>2406949.17</v>
      </c>
      <c r="S18" s="91">
        <f t="shared" si="6"/>
        <v>482836.50999999995</v>
      </c>
      <c r="T18" s="91">
        <f t="shared" si="6"/>
        <v>95596.08</v>
      </c>
      <c r="U18" s="91">
        <f t="shared" si="6"/>
        <v>29700</v>
      </c>
      <c r="V18" s="91">
        <f t="shared" si="6"/>
        <v>145893.20000000001</v>
      </c>
    </row>
    <row r="19" spans="1:22">
      <c r="A19" s="313">
        <v>2016</v>
      </c>
      <c r="B19" s="86" t="str">
        <f>IF(L!$A$1=1,L!B140,IF(L!$A$1=2,L!C140,L!D140))</f>
        <v>2016 Janar</v>
      </c>
      <c r="C19" s="87">
        <f t="shared" si="5"/>
        <v>1334560.44</v>
      </c>
      <c r="D19" s="87">
        <f t="shared" ref="D19:D43" si="7">+E19+K19+Q19</f>
        <v>1334560.44</v>
      </c>
      <c r="E19" s="129">
        <f t="shared" ref="E19:E29" si="8">SUM(F19:J19)</f>
        <v>316852.89</v>
      </c>
      <c r="F19" s="131">
        <v>154590.49000000002</v>
      </c>
      <c r="G19" s="87">
        <v>98456.9</v>
      </c>
      <c r="H19" s="87">
        <v>63805.5</v>
      </c>
      <c r="I19" s="87"/>
      <c r="J19" s="87"/>
      <c r="K19" s="128">
        <f t="shared" ref="K19:K30" si="9">SUM(L19:P19)</f>
        <v>739694.6</v>
      </c>
      <c r="L19" s="87">
        <v>736915</v>
      </c>
      <c r="M19" s="87">
        <v>2779.6</v>
      </c>
      <c r="N19" s="87"/>
      <c r="O19" s="87"/>
      <c r="P19" s="87"/>
      <c r="Q19" s="129">
        <f t="shared" si="0"/>
        <v>278012.94999999995</v>
      </c>
      <c r="R19" s="87">
        <f>2117.24+186148.34+8608.71</f>
        <v>196874.28999999998</v>
      </c>
      <c r="S19" s="87">
        <v>81138.66</v>
      </c>
      <c r="T19" s="87"/>
      <c r="U19" s="87"/>
      <c r="V19" s="87"/>
    </row>
    <row r="20" spans="1:22">
      <c r="A20" s="313"/>
      <c r="B20" s="86" t="str">
        <f>IF(L!$A$1=1,L!B141,IF(L!$A$1=2,L!C141,L!D141))</f>
        <v>2016 Shkurt</v>
      </c>
      <c r="C20" s="87">
        <f t="shared" si="5"/>
        <v>2042165.58</v>
      </c>
      <c r="D20" s="87">
        <f t="shared" si="7"/>
        <v>2042165.58</v>
      </c>
      <c r="E20" s="129">
        <f t="shared" si="8"/>
        <v>762270.74</v>
      </c>
      <c r="F20" s="131">
        <v>154011.29</v>
      </c>
      <c r="G20" s="87">
        <v>87845.05</v>
      </c>
      <c r="H20" s="87">
        <v>45461.32</v>
      </c>
      <c r="I20" s="87">
        <v>29521</v>
      </c>
      <c r="J20" s="87">
        <v>445432.08</v>
      </c>
      <c r="K20" s="128">
        <f t="shared" si="9"/>
        <v>995885.23</v>
      </c>
      <c r="L20" s="87">
        <v>750161.79</v>
      </c>
      <c r="M20" s="87">
        <v>225395.43</v>
      </c>
      <c r="N20" s="87">
        <v>20328.009999999998</v>
      </c>
      <c r="O20" s="87"/>
      <c r="P20" s="87"/>
      <c r="Q20" s="129">
        <f t="shared" si="0"/>
        <v>284009.61</v>
      </c>
      <c r="R20" s="87">
        <f>197693.59+8608.71+2117.24</f>
        <v>208419.53999999998</v>
      </c>
      <c r="S20" s="87">
        <v>47353.63</v>
      </c>
      <c r="T20" s="87">
        <v>28236.44</v>
      </c>
      <c r="U20" s="87"/>
      <c r="V20" s="87"/>
    </row>
    <row r="21" spans="1:22">
      <c r="A21" s="313"/>
      <c r="B21" s="86" t="str">
        <f>IF(L!$A$1=1,L!B142,IF(L!$A$1=2,L!C142,L!D142))</f>
        <v xml:space="preserve">2016 Mars </v>
      </c>
      <c r="C21" s="87">
        <f t="shared" si="5"/>
        <v>1761859.96</v>
      </c>
      <c r="D21" s="87">
        <f t="shared" si="7"/>
        <v>1761859.96</v>
      </c>
      <c r="E21" s="129">
        <f t="shared" si="8"/>
        <v>693458.06</v>
      </c>
      <c r="F21" s="131">
        <v>153718.1</v>
      </c>
      <c r="G21" s="87">
        <v>123304.11</v>
      </c>
      <c r="H21" s="87">
        <v>40990.230000000003</v>
      </c>
      <c r="I21" s="87">
        <v>35772.81</v>
      </c>
      <c r="J21" s="87">
        <v>339672.81</v>
      </c>
      <c r="K21" s="128">
        <f t="shared" si="9"/>
        <v>812408.49</v>
      </c>
      <c r="L21" s="87">
        <v>738898.79</v>
      </c>
      <c r="M21" s="87">
        <v>64485.85</v>
      </c>
      <c r="N21" s="87">
        <v>9023.85</v>
      </c>
      <c r="O21" s="87"/>
      <c r="P21" s="87"/>
      <c r="Q21" s="129">
        <f t="shared" si="0"/>
        <v>255993.41</v>
      </c>
      <c r="R21" s="87">
        <f>2117.24+191722.88+8608.71</f>
        <v>202448.83</v>
      </c>
      <c r="S21" s="87">
        <v>40699.300000000003</v>
      </c>
      <c r="T21" s="87">
        <v>12845.28</v>
      </c>
      <c r="U21" s="87"/>
      <c r="V21" s="87"/>
    </row>
    <row r="22" spans="1:22">
      <c r="A22" s="313"/>
      <c r="B22" s="86" t="str">
        <f>IF(L!$A$1=1,L!B143,IF(L!$A$1=2,L!C143,L!D143))</f>
        <v>2016 Prill</v>
      </c>
      <c r="C22" s="87">
        <f t="shared" si="5"/>
        <v>1628044.67</v>
      </c>
      <c r="D22" s="87">
        <f t="shared" si="7"/>
        <v>1628044.67</v>
      </c>
      <c r="E22" s="129">
        <f t="shared" si="8"/>
        <v>480347.33999999997</v>
      </c>
      <c r="F22" s="137">
        <v>151771.78</v>
      </c>
      <c r="G22" s="87">
        <v>115222.22</v>
      </c>
      <c r="H22" s="87">
        <v>45576.68</v>
      </c>
      <c r="I22" s="87">
        <v>20000</v>
      </c>
      <c r="J22" s="87">
        <v>147776.66</v>
      </c>
      <c r="K22" s="128">
        <f t="shared" si="9"/>
        <v>863738.3899999999</v>
      </c>
      <c r="L22" s="87">
        <f>483.57+742182.39</f>
        <v>742665.96</v>
      </c>
      <c r="M22" s="87">
        <v>107083.99</v>
      </c>
      <c r="N22" s="87">
        <v>13988.44</v>
      </c>
      <c r="O22" s="87"/>
      <c r="P22" s="87"/>
      <c r="Q22" s="129">
        <f t="shared" si="0"/>
        <v>283958.93999999994</v>
      </c>
      <c r="R22" s="87">
        <f>2126.47+193233.77+8645.97</f>
        <v>204006.21</v>
      </c>
      <c r="S22" s="87">
        <v>65944.75</v>
      </c>
      <c r="T22" s="87">
        <v>13607.98</v>
      </c>
      <c r="U22" s="87">
        <v>400</v>
      </c>
      <c r="V22" s="87"/>
    </row>
    <row r="23" spans="1:22">
      <c r="A23" s="313"/>
      <c r="B23" s="86" t="str">
        <f>IF(L!$A$1=1,L!B144,IF(L!$A$1=2,L!C144,L!D144))</f>
        <v>2016 Maj</v>
      </c>
      <c r="C23" s="87">
        <f t="shared" si="5"/>
        <v>1752785.9100000001</v>
      </c>
      <c r="D23" s="87">
        <f t="shared" si="7"/>
        <v>1752785.9100000001</v>
      </c>
      <c r="E23" s="129">
        <f t="shared" si="8"/>
        <v>718977.06</v>
      </c>
      <c r="F23" s="131">
        <v>152277.49</v>
      </c>
      <c r="G23" s="87">
        <v>73937.320000000007</v>
      </c>
      <c r="H23" s="87">
        <v>33395.56</v>
      </c>
      <c r="I23" s="87">
        <v>66300</v>
      </c>
      <c r="J23" s="87">
        <v>393066.69</v>
      </c>
      <c r="K23" s="128">
        <f t="shared" si="9"/>
        <v>788132.77</v>
      </c>
      <c r="L23" s="87">
        <v>747489.58000000007</v>
      </c>
      <c r="M23" s="87">
        <v>13204.71</v>
      </c>
      <c r="N23" s="87">
        <v>15727.77</v>
      </c>
      <c r="O23" s="87"/>
      <c r="P23" s="87">
        <v>11710.71</v>
      </c>
      <c r="Q23" s="129">
        <f t="shared" si="0"/>
        <v>245676.08</v>
      </c>
      <c r="R23" s="87">
        <f>8645.97+198059.12+2126.47</f>
        <v>208831.56</v>
      </c>
      <c r="S23" s="87">
        <v>29323.75</v>
      </c>
      <c r="T23" s="87">
        <v>3570.77</v>
      </c>
      <c r="U23" s="87">
        <v>3950</v>
      </c>
      <c r="V23" s="87"/>
    </row>
    <row r="24" spans="1:22">
      <c r="A24" s="313"/>
      <c r="B24" s="86" t="str">
        <f>IF(L!$A$1=1,L!B145,IF(L!$A$1=2,L!C145,L!D145))</f>
        <v>2016 Qershor</v>
      </c>
      <c r="C24" s="87">
        <f t="shared" si="5"/>
        <v>1507893.4800000002</v>
      </c>
      <c r="D24" s="87">
        <f t="shared" si="7"/>
        <v>1507893.4800000002</v>
      </c>
      <c r="E24" s="129">
        <f t="shared" si="8"/>
        <v>452820.12</v>
      </c>
      <c r="F24" s="131">
        <v>152587.94999999998</v>
      </c>
      <c r="G24" s="87">
        <v>53446.1</v>
      </c>
      <c r="H24" s="87">
        <v>23178.85</v>
      </c>
      <c r="I24" s="87">
        <v>12250</v>
      </c>
      <c r="J24" s="87">
        <v>211357.22</v>
      </c>
      <c r="K24" s="128">
        <f t="shared" si="9"/>
        <v>814593.81</v>
      </c>
      <c r="L24" s="87">
        <f>461.67+737254.85</f>
        <v>737716.52</v>
      </c>
      <c r="M24" s="87">
        <v>55480.480000000003</v>
      </c>
      <c r="N24" s="87">
        <v>449.81</v>
      </c>
      <c r="O24" s="87"/>
      <c r="P24" s="87">
        <v>20947</v>
      </c>
      <c r="Q24" s="129">
        <f t="shared" si="0"/>
        <v>240479.55</v>
      </c>
      <c r="R24" s="87">
        <f>2126.47+197933.64+9146.99</f>
        <v>209207.1</v>
      </c>
      <c r="S24" s="87">
        <v>29939.96</v>
      </c>
      <c r="T24" s="87">
        <v>982.49</v>
      </c>
      <c r="U24" s="87">
        <v>350</v>
      </c>
      <c r="V24" s="87"/>
    </row>
    <row r="25" spans="1:22">
      <c r="A25" s="313"/>
      <c r="B25" s="86" t="str">
        <f>IF(L!$A$1=1,L!B146,IF(L!$A$1=2,L!C146,L!D146))</f>
        <v>2016 Korrik</v>
      </c>
      <c r="C25" s="87">
        <f t="shared" si="5"/>
        <v>1350821.57</v>
      </c>
      <c r="D25" s="87">
        <f t="shared" si="7"/>
        <v>1350821.57</v>
      </c>
      <c r="E25" s="129">
        <f t="shared" si="8"/>
        <v>288788.89</v>
      </c>
      <c r="F25" s="132">
        <v>152587.94999999998</v>
      </c>
      <c r="G25" s="87">
        <v>48574.27</v>
      </c>
      <c r="H25" s="87">
        <v>3162.32</v>
      </c>
      <c r="I25" s="87">
        <v>616.5</v>
      </c>
      <c r="J25" s="87">
        <v>83847.850000000006</v>
      </c>
      <c r="K25" s="128">
        <f t="shared" si="9"/>
        <v>814048.52</v>
      </c>
      <c r="L25" s="87">
        <v>745801.11</v>
      </c>
      <c r="M25" s="87">
        <v>41980.26</v>
      </c>
      <c r="N25" s="87">
        <v>377.15</v>
      </c>
      <c r="O25" s="87"/>
      <c r="P25" s="87">
        <v>25890</v>
      </c>
      <c r="Q25" s="129">
        <f t="shared" si="0"/>
        <v>247984.15999999997</v>
      </c>
      <c r="R25" s="87">
        <f>195982.15+2126.47+9146.99</f>
        <v>207255.61</v>
      </c>
      <c r="S25" s="87">
        <v>20728.55</v>
      </c>
      <c r="T25" s="87"/>
      <c r="U25" s="87"/>
      <c r="V25" s="87">
        <v>20000</v>
      </c>
    </row>
    <row r="26" spans="1:22">
      <c r="A26" s="313"/>
      <c r="B26" s="86" t="str">
        <f>IF(L!$A$1=1,L!B147,IF(L!$A$1=2,L!C147,L!D147))</f>
        <v>2016 Gusht</v>
      </c>
      <c r="C26" s="87">
        <f t="shared" si="5"/>
        <v>1959250.55</v>
      </c>
      <c r="D26" s="87">
        <f t="shared" si="7"/>
        <v>1959250.55</v>
      </c>
      <c r="E26" s="129">
        <f t="shared" si="8"/>
        <v>740670.11999999988</v>
      </c>
      <c r="F26" s="138">
        <v>155899.72999999998</v>
      </c>
      <c r="G26" s="87">
        <v>147214.32999999999</v>
      </c>
      <c r="H26" s="87">
        <v>43373.08</v>
      </c>
      <c r="I26" s="87">
        <v>13472</v>
      </c>
      <c r="J26" s="87">
        <v>380710.98</v>
      </c>
      <c r="K26" s="128">
        <f t="shared" si="9"/>
        <v>934391.34</v>
      </c>
      <c r="L26" s="87">
        <f>967.14+731027.28</f>
        <v>731994.42</v>
      </c>
      <c r="M26" s="87">
        <v>118721.98</v>
      </c>
      <c r="N26" s="87">
        <v>10192.700000000001</v>
      </c>
      <c r="O26" s="87"/>
      <c r="P26" s="87">
        <v>73482.240000000005</v>
      </c>
      <c r="Q26" s="129">
        <f t="shared" si="0"/>
        <v>284189.09000000003</v>
      </c>
      <c r="R26" s="87">
        <f>2126.47+195654.95+9146.99</f>
        <v>206928.41</v>
      </c>
      <c r="S26" s="87">
        <v>46646.51</v>
      </c>
      <c r="T26" s="87">
        <v>7924.87</v>
      </c>
      <c r="U26" s="87">
        <v>200</v>
      </c>
      <c r="V26" s="87">
        <v>22489.3</v>
      </c>
    </row>
    <row r="27" spans="1:22">
      <c r="A27" s="313"/>
      <c r="B27" s="86" t="str">
        <f>IF(L!$A$1=1,L!B148,IF(L!$A$1=2,L!C148,L!D148))</f>
        <v>2016 Shtator</v>
      </c>
      <c r="C27" s="87">
        <f t="shared" si="5"/>
        <v>1630663.8100000003</v>
      </c>
      <c r="D27" s="87">
        <f t="shared" si="7"/>
        <v>1630663.8100000003</v>
      </c>
      <c r="E27" s="129">
        <f t="shared" si="8"/>
        <v>542808.03</v>
      </c>
      <c r="F27" s="131">
        <v>151691.54999999999</v>
      </c>
      <c r="G27" s="87">
        <v>56133.14</v>
      </c>
      <c r="H27" s="87">
        <v>23779.040000000001</v>
      </c>
      <c r="I27" s="87">
        <v>8845</v>
      </c>
      <c r="J27" s="87">
        <v>302359.3</v>
      </c>
      <c r="K27" s="128">
        <f t="shared" si="9"/>
        <v>855835.42</v>
      </c>
      <c r="L27" s="87">
        <v>730722.22</v>
      </c>
      <c r="M27" s="87">
        <v>59746.559999999998</v>
      </c>
      <c r="N27" s="87">
        <v>10246.27</v>
      </c>
      <c r="O27" s="87"/>
      <c r="P27" s="87">
        <v>55120.37</v>
      </c>
      <c r="Q27" s="129">
        <f t="shared" si="0"/>
        <v>232020.36000000002</v>
      </c>
      <c r="R27" s="87">
        <f>2126.47+192975.41+9146.99</f>
        <v>204248.87</v>
      </c>
      <c r="S27" s="87">
        <v>26260.79</v>
      </c>
      <c r="T27" s="87">
        <v>1510.7</v>
      </c>
      <c r="U27" s="87"/>
      <c r="V27" s="87"/>
    </row>
    <row r="28" spans="1:22">
      <c r="A28" s="314"/>
      <c r="B28" s="86" t="str">
        <f>IF(L!$A$1=1,L!B149,IF(L!$A$1=2,L!C149,L!D149))</f>
        <v>2016 Tetor</v>
      </c>
      <c r="C28" s="87">
        <f t="shared" si="5"/>
        <v>1918006.27</v>
      </c>
      <c r="D28" s="87">
        <f t="shared" si="7"/>
        <v>1918006.27</v>
      </c>
      <c r="E28" s="129">
        <f t="shared" si="8"/>
        <v>676001.67999999993</v>
      </c>
      <c r="F28" s="133">
        <f>10856.6+152850.77</f>
        <v>163707.37</v>
      </c>
      <c r="G28" s="88">
        <v>122157.2</v>
      </c>
      <c r="H28" s="88">
        <v>23921.360000000001</v>
      </c>
      <c r="I28" s="88">
        <v>10500</v>
      </c>
      <c r="J28" s="88">
        <v>355715.75</v>
      </c>
      <c r="K28" s="128">
        <f t="shared" si="9"/>
        <v>944325.77</v>
      </c>
      <c r="L28" s="88">
        <f>483.57+742362.31</f>
        <v>742845.88</v>
      </c>
      <c r="M28" s="88">
        <v>70414.09</v>
      </c>
      <c r="N28" s="88">
        <v>8083.8</v>
      </c>
      <c r="O28" s="88"/>
      <c r="P28" s="88">
        <v>122982</v>
      </c>
      <c r="Q28" s="129">
        <f t="shared" si="0"/>
        <v>297678.82</v>
      </c>
      <c r="R28" s="88">
        <f>9146.99+187140.7+2126.47</f>
        <v>198414.16</v>
      </c>
      <c r="S28" s="88">
        <v>94575.23</v>
      </c>
      <c r="T28" s="88">
        <v>4689.43</v>
      </c>
      <c r="U28" s="88"/>
      <c r="V28" s="88"/>
    </row>
    <row r="29" spans="1:22">
      <c r="A29" s="314"/>
      <c r="B29" s="86" t="str">
        <f>IF(L!$A$1=1,L!B150,IF(L!$A$1=2,L!C150,L!D150))</f>
        <v xml:space="preserve">2016 Nëntor </v>
      </c>
      <c r="C29" s="87">
        <f t="shared" si="5"/>
        <v>2391820.0299999998</v>
      </c>
      <c r="D29" s="87">
        <f t="shared" si="7"/>
        <v>2391820.0299999998</v>
      </c>
      <c r="E29" s="129">
        <f t="shared" si="8"/>
        <v>1088413.47</v>
      </c>
      <c r="F29" s="133">
        <f>2100+152939.29</f>
        <v>155039.29</v>
      </c>
      <c r="G29" s="88">
        <v>93830.14</v>
      </c>
      <c r="H29" s="88">
        <v>27516.03</v>
      </c>
      <c r="I29" s="88">
        <v>17641.36</v>
      </c>
      <c r="J29" s="88">
        <v>794386.65</v>
      </c>
      <c r="K29" s="128">
        <f t="shared" si="9"/>
        <v>1059090.1199999999</v>
      </c>
      <c r="L29" s="88">
        <v>745724.96</v>
      </c>
      <c r="M29" s="88">
        <v>85391.71</v>
      </c>
      <c r="N29" s="88">
        <v>11566.43</v>
      </c>
      <c r="O29" s="88"/>
      <c r="P29" s="88">
        <v>216407.02</v>
      </c>
      <c r="Q29" s="129">
        <f t="shared" si="0"/>
        <v>244316.43999999997</v>
      </c>
      <c r="R29" s="88">
        <f>2126.47+198896.74+9146.99</f>
        <v>210170.19999999998</v>
      </c>
      <c r="S29" s="88">
        <v>19701.43</v>
      </c>
      <c r="T29" s="88">
        <v>11667.81</v>
      </c>
      <c r="U29" s="88"/>
      <c r="V29" s="88">
        <v>2777</v>
      </c>
    </row>
    <row r="30" spans="1:22">
      <c r="A30" s="314"/>
      <c r="B30" s="86" t="str">
        <f>IF(L!$A$1=1,L!B151,IF(L!$A$1=2,L!C151,L!D151))</f>
        <v>2016 Dhjetor</v>
      </c>
      <c r="C30" s="87">
        <f t="shared" si="5"/>
        <v>2769562.0700000003</v>
      </c>
      <c r="D30" s="87">
        <f t="shared" si="7"/>
        <v>2769562.0700000003</v>
      </c>
      <c r="E30" s="129">
        <f t="shared" ref="E30:E43" si="10">SUM(F30:J30)</f>
        <v>1475863.46</v>
      </c>
      <c r="F30" s="134">
        <f>155310.5</f>
        <v>155310.5</v>
      </c>
      <c r="G30" s="99">
        <f>107975.11-5263</f>
        <v>102712.11</v>
      </c>
      <c r="H30" s="98">
        <v>58099.360000000001</v>
      </c>
      <c r="I30" s="98">
        <v>28751.5</v>
      </c>
      <c r="J30" s="98">
        <f>1167602.99-36613</f>
        <v>1130989.99</v>
      </c>
      <c r="K30" s="128">
        <f t="shared" si="9"/>
        <v>941355.03</v>
      </c>
      <c r="L30" s="98">
        <v>747929.85000000009</v>
      </c>
      <c r="M30" s="99">
        <f>47418.75+3784</f>
        <v>51202.75</v>
      </c>
      <c r="N30" s="98">
        <v>19887.360000000004</v>
      </c>
      <c r="O30" s="98"/>
      <c r="P30" s="98">
        <v>122335.07</v>
      </c>
      <c r="Q30" s="129">
        <f t="shared" si="0"/>
        <v>352343.57999999996</v>
      </c>
      <c r="R30" s="98">
        <f>9146.99+192942.83+2511.59</f>
        <v>204601.40999999997</v>
      </c>
      <c r="S30" s="99">
        <f>36684.8+1890</f>
        <v>38574.800000000003</v>
      </c>
      <c r="T30" s="98">
        <v>27332.37</v>
      </c>
      <c r="U30" s="98"/>
      <c r="V30" s="98">
        <v>81835</v>
      </c>
    </row>
    <row r="31" spans="1:22" s="130" customFormat="1">
      <c r="A31" s="315"/>
      <c r="B31" s="93" t="str">
        <f>IF(L!$A$1=1,L!B152,IF(L!$A$1=2,L!C152,L!D152))</f>
        <v>Gjithsej 2016</v>
      </c>
      <c r="C31" s="94">
        <f t="shared" si="5"/>
        <v>22047434.339999996</v>
      </c>
      <c r="D31" s="90">
        <f t="shared" si="7"/>
        <v>22047434.339999996</v>
      </c>
      <c r="E31" s="95">
        <f>SUM(F31:J31)</f>
        <v>8237271.8599999994</v>
      </c>
      <c r="F31" s="95">
        <f>SUM(F19:F30)</f>
        <v>1853193.4900000002</v>
      </c>
      <c r="G31" s="95">
        <f t="shared" ref="G31:P31" si="11">SUM(G19:G30)</f>
        <v>1122832.8900000001</v>
      </c>
      <c r="H31" s="95">
        <f t="shared" si="11"/>
        <v>432259.32999999996</v>
      </c>
      <c r="I31" s="95">
        <f t="shared" si="11"/>
        <v>243670.16999999998</v>
      </c>
      <c r="J31" s="95">
        <f t="shared" si="11"/>
        <v>4585315.9799999995</v>
      </c>
      <c r="K31" s="95">
        <f t="shared" si="11"/>
        <v>10563499.489999998</v>
      </c>
      <c r="L31" s="95">
        <f t="shared" si="11"/>
        <v>8898866.0800000001</v>
      </c>
      <c r="M31" s="95">
        <f t="shared" si="11"/>
        <v>895887.41</v>
      </c>
      <c r="N31" s="95">
        <f t="shared" si="11"/>
        <v>119871.59000000001</v>
      </c>
      <c r="O31" s="95">
        <f t="shared" si="11"/>
        <v>0</v>
      </c>
      <c r="P31" s="95">
        <f t="shared" si="11"/>
        <v>648874.40999999992</v>
      </c>
      <c r="Q31" s="95">
        <f>SUM(Q19:Q30)</f>
        <v>3246662.9899999998</v>
      </c>
      <c r="R31" s="95">
        <f>SUM(R19:R30)</f>
        <v>2461406.19</v>
      </c>
      <c r="S31" s="95">
        <f>SUM(S19:S30)</f>
        <v>540887.36</v>
      </c>
      <c r="T31" s="95">
        <f t="shared" ref="T31:V31" si="12">SUM(T19:T30)</f>
        <v>112368.13999999998</v>
      </c>
      <c r="U31" s="95">
        <f t="shared" si="12"/>
        <v>4900</v>
      </c>
      <c r="V31" s="95">
        <f t="shared" si="12"/>
        <v>127101.3</v>
      </c>
    </row>
    <row r="32" spans="1:22">
      <c r="A32" s="313">
        <v>2017</v>
      </c>
      <c r="B32" s="86" t="str">
        <f>IF(L!$A$1=1,L!B153,IF(L!$A$1=2,L!C153,L!D153))</f>
        <v>2017 Janar</v>
      </c>
      <c r="C32" s="87">
        <f t="shared" si="5"/>
        <v>1232125.31</v>
      </c>
      <c r="D32" s="87">
        <f t="shared" si="7"/>
        <v>1232125.31</v>
      </c>
      <c r="E32" s="129">
        <f t="shared" si="10"/>
        <v>249525.17</v>
      </c>
      <c r="F32" s="87">
        <v>153907.14000000001</v>
      </c>
      <c r="G32" s="87">
        <v>95618.03</v>
      </c>
      <c r="H32" s="87"/>
      <c r="I32" s="87"/>
      <c r="J32" s="87"/>
      <c r="K32" s="87">
        <f t="shared" ref="K32:K37" si="13">SUM(L32:P32)</f>
        <v>743940</v>
      </c>
      <c r="L32" s="123">
        <v>743940</v>
      </c>
      <c r="M32" s="123"/>
      <c r="N32" s="123"/>
      <c r="O32" s="123"/>
      <c r="P32" s="123"/>
      <c r="Q32" s="87">
        <f t="shared" ref="Q32:Q37" si="14">SUM(R32:V32)</f>
        <v>238660.13999999998</v>
      </c>
      <c r="R32" s="87">
        <f>2126.47+185290.72+9146.99</f>
        <v>196564.18</v>
      </c>
      <c r="S32" s="87">
        <v>42095.96</v>
      </c>
      <c r="U32" s="87"/>
      <c r="V32" s="87"/>
    </row>
    <row r="33" spans="1:22">
      <c r="A33" s="313"/>
      <c r="B33" s="86" t="str">
        <f>IF(L!$A$1=1,L!B154,IF(L!$A$1=2,L!C154,L!D154))</f>
        <v>2017 Shkurt</v>
      </c>
      <c r="C33" s="87">
        <f t="shared" si="5"/>
        <v>1828106.44</v>
      </c>
      <c r="D33" s="87">
        <f t="shared" si="7"/>
        <v>1828106.44</v>
      </c>
      <c r="E33" s="129">
        <f t="shared" si="10"/>
        <v>653385.23</v>
      </c>
      <c r="F33" s="87">
        <v>154285.48000000001</v>
      </c>
      <c r="G33" s="92">
        <v>122053.49</v>
      </c>
      <c r="H33" s="92">
        <v>80788.28</v>
      </c>
      <c r="I33" s="92"/>
      <c r="J33" s="87">
        <v>296257.98</v>
      </c>
      <c r="K33" s="87">
        <f t="shared" si="13"/>
        <v>890174.30999999994</v>
      </c>
      <c r="L33" s="124">
        <v>742158.33</v>
      </c>
      <c r="M33" s="125">
        <v>89821.3</v>
      </c>
      <c r="N33" s="125">
        <v>22399.08</v>
      </c>
      <c r="O33" s="125"/>
      <c r="P33" s="124">
        <v>35795.599999999999</v>
      </c>
      <c r="Q33" s="87">
        <f t="shared" si="14"/>
        <v>284546.89999999997</v>
      </c>
      <c r="R33" s="87">
        <f>2625.08+202835.96+9146.99</f>
        <v>214608.02999999997</v>
      </c>
      <c r="S33" s="92">
        <f>374.06+45495.08+2550.62</f>
        <v>48419.76</v>
      </c>
      <c r="T33" s="87">
        <f>51+13629.24+571.87</f>
        <v>14252.11</v>
      </c>
      <c r="U33" s="92"/>
      <c r="V33" s="87">
        <v>7267</v>
      </c>
    </row>
    <row r="34" spans="1:22">
      <c r="A34" s="313"/>
      <c r="B34" s="86" t="str">
        <f>IF(L!$A$1=1,L!B155,IF(L!$A$1=2,L!C155,L!D155))</f>
        <v xml:space="preserve">2017 Mars </v>
      </c>
      <c r="C34" s="87">
        <f t="shared" si="5"/>
        <v>1580023.8599999999</v>
      </c>
      <c r="D34" s="87">
        <f t="shared" si="7"/>
        <v>1580023.8599999999</v>
      </c>
      <c r="E34" s="129">
        <f t="shared" si="10"/>
        <v>411518.69</v>
      </c>
      <c r="F34" s="87">
        <v>156536.97</v>
      </c>
      <c r="G34" s="92">
        <v>79802.210000000006</v>
      </c>
      <c r="H34" s="92">
        <v>40809.31</v>
      </c>
      <c r="I34" s="92">
        <v>7700</v>
      </c>
      <c r="J34" s="87">
        <v>126670.2</v>
      </c>
      <c r="K34" s="87">
        <f t="shared" si="13"/>
        <v>897227.55</v>
      </c>
      <c r="L34" s="124">
        <v>764270.35</v>
      </c>
      <c r="M34" s="125">
        <v>122432.65</v>
      </c>
      <c r="N34" s="125">
        <v>10524.55</v>
      </c>
      <c r="O34" s="125"/>
      <c r="P34" s="124"/>
      <c r="Q34" s="87">
        <f t="shared" si="14"/>
        <v>271277.62</v>
      </c>
      <c r="R34" s="87">
        <f>2625.08+193212.06+9147</f>
        <v>204984.13999999998</v>
      </c>
      <c r="S34" s="92">
        <f>1501.65+49122.82+565.58</f>
        <v>51190.05</v>
      </c>
      <c r="T34" s="92">
        <f>1694.42+11195.72+2213.29</f>
        <v>15103.43</v>
      </c>
      <c r="U34" s="92"/>
      <c r="V34" s="87"/>
    </row>
    <row r="35" spans="1:22">
      <c r="A35" s="313"/>
      <c r="B35" s="86" t="str">
        <f>IF(L!$A$1=1,L!B156,IF(L!$A$1=2,L!C156,L!D156))</f>
        <v>2017 Prill</v>
      </c>
      <c r="C35" s="87">
        <f t="shared" si="5"/>
        <v>1478906.7599999998</v>
      </c>
      <c r="D35" s="87">
        <f t="shared" si="7"/>
        <v>1478906.7599999998</v>
      </c>
      <c r="E35" s="129">
        <f t="shared" si="10"/>
        <v>405228.69999999995</v>
      </c>
      <c r="F35" s="87">
        <v>156656.46</v>
      </c>
      <c r="G35" s="87">
        <v>107223.89</v>
      </c>
      <c r="H35" s="87">
        <v>45371.8</v>
      </c>
      <c r="I35" s="87">
        <v>33000</v>
      </c>
      <c r="J35" s="87">
        <v>62976.55</v>
      </c>
      <c r="K35" s="87">
        <f t="shared" si="13"/>
        <v>812459.53999999992</v>
      </c>
      <c r="L35" s="124">
        <v>743448.58</v>
      </c>
      <c r="M35" s="124">
        <v>30801.32</v>
      </c>
      <c r="N35" s="124">
        <v>19744.310000000001</v>
      </c>
      <c r="O35" s="124"/>
      <c r="P35" s="124">
        <v>18465.330000000002</v>
      </c>
      <c r="Q35" s="87">
        <f t="shared" si="14"/>
        <v>261218.52000000002</v>
      </c>
      <c r="R35" s="87">
        <f>2636.6+196901.26+9186.29</f>
        <v>208724.15000000002</v>
      </c>
      <c r="S35" s="87">
        <f>42218.05+1027.95</f>
        <v>43246</v>
      </c>
      <c r="T35" s="92">
        <f>89.62+8183.75</f>
        <v>8273.3700000000008</v>
      </c>
      <c r="U35" s="87"/>
      <c r="V35" s="87">
        <v>975</v>
      </c>
    </row>
    <row r="36" spans="1:22">
      <c r="A36" s="313"/>
      <c r="B36" s="86" t="str">
        <f>IF(L!$A$1=1,L!B157,IF(L!$A$1=2,L!C157,L!D157))</f>
        <v>2017 Maj</v>
      </c>
      <c r="C36" s="87">
        <f t="shared" si="5"/>
        <v>1996820.6800000002</v>
      </c>
      <c r="D36" s="87">
        <f t="shared" si="7"/>
        <v>1996820.6800000002</v>
      </c>
      <c r="E36" s="129">
        <f t="shared" si="10"/>
        <v>863554.35</v>
      </c>
      <c r="F36" s="87">
        <v>154099.76</v>
      </c>
      <c r="G36" s="87">
        <v>105707.91</v>
      </c>
      <c r="H36" s="87">
        <v>31855.33</v>
      </c>
      <c r="I36" s="87">
        <v>10000</v>
      </c>
      <c r="J36" s="87">
        <v>561891.35</v>
      </c>
      <c r="K36" s="87">
        <f t="shared" si="13"/>
        <v>851532.54</v>
      </c>
      <c r="L36" s="124">
        <v>740923.25</v>
      </c>
      <c r="M36" s="124">
        <v>80958.73</v>
      </c>
      <c r="N36" s="124">
        <v>11851.5</v>
      </c>
      <c r="O36" s="124"/>
      <c r="P36" s="124">
        <v>17799.060000000001</v>
      </c>
      <c r="Q36" s="87">
        <f t="shared" si="14"/>
        <v>281733.79000000004</v>
      </c>
      <c r="R36" s="87">
        <f>197000.31+2636.6+9186.29</f>
        <v>208823.2</v>
      </c>
      <c r="S36" s="87">
        <f>1792.72+48146.91+1863.98</f>
        <v>51803.610000000008</v>
      </c>
      <c r="T36" s="87">
        <f>75.46+2820.11+769.01</f>
        <v>3664.58</v>
      </c>
      <c r="U36" s="87"/>
      <c r="V36" s="87">
        <v>17442.400000000001</v>
      </c>
    </row>
    <row r="37" spans="1:22">
      <c r="A37" s="313"/>
      <c r="B37" s="86" t="str">
        <f>IF(L!$A$1=1,L!B158,IF(L!$A$1=2,L!C158,L!D158))</f>
        <v>2017 Qershor</v>
      </c>
      <c r="C37" s="87">
        <f t="shared" si="5"/>
        <v>2016126.88</v>
      </c>
      <c r="D37" s="87">
        <f t="shared" si="7"/>
        <v>2016126.88</v>
      </c>
      <c r="E37" s="129">
        <f t="shared" si="10"/>
        <v>850915.1399999999</v>
      </c>
      <c r="F37" s="87">
        <v>153582.1</v>
      </c>
      <c r="G37" s="87">
        <v>79130.45</v>
      </c>
      <c r="H37" s="87">
        <v>31089.87</v>
      </c>
      <c r="I37" s="87">
        <v>73800</v>
      </c>
      <c r="J37" s="87">
        <v>513312.72</v>
      </c>
      <c r="K37" s="87">
        <f t="shared" si="13"/>
        <v>914216.29</v>
      </c>
      <c r="L37" s="124">
        <v>744980.07</v>
      </c>
      <c r="M37" s="124">
        <v>62522.77</v>
      </c>
      <c r="N37" s="124">
        <v>3574.78</v>
      </c>
      <c r="O37" s="124"/>
      <c r="P37" s="124">
        <v>103138.67</v>
      </c>
      <c r="Q37" s="87">
        <f t="shared" si="14"/>
        <v>250995.45</v>
      </c>
      <c r="R37" s="87">
        <f>2636.6+199014.65+8490.92</f>
        <v>210142.17</v>
      </c>
      <c r="S37" s="87">
        <f>374.06+20552.02</f>
        <v>20926.080000000002</v>
      </c>
      <c r="T37" s="87">
        <f>132.62+1393.84+397.89</f>
        <v>1924.35</v>
      </c>
      <c r="U37" s="87">
        <v>9550</v>
      </c>
      <c r="V37" s="87">
        <v>8452.85</v>
      </c>
    </row>
    <row r="38" spans="1:22">
      <c r="A38" s="313"/>
      <c r="B38" s="86" t="str">
        <f>IF(L!$A$1=1,L!B159,IF(L!$A$1=2,L!C159,L!D159))</f>
        <v>2017 Korrik</v>
      </c>
      <c r="C38" s="87">
        <f t="shared" si="5"/>
        <v>2085806.9000000001</v>
      </c>
      <c r="D38" s="87">
        <f t="shared" si="7"/>
        <v>2085806.9000000001</v>
      </c>
      <c r="E38" s="129">
        <f t="shared" si="10"/>
        <v>968046.83000000007</v>
      </c>
      <c r="F38" s="87">
        <v>152627.04999999999</v>
      </c>
      <c r="G38" s="87">
        <v>89109.2</v>
      </c>
      <c r="H38" s="87">
        <v>42839.29</v>
      </c>
      <c r="I38" s="87">
        <v>9685</v>
      </c>
      <c r="J38" s="87">
        <v>673786.29</v>
      </c>
      <c r="K38" s="87">
        <f>SUM(L38:P38)</f>
        <v>865742.97999999986</v>
      </c>
      <c r="L38" s="135">
        <v>745505.72</v>
      </c>
      <c r="M38" s="135">
        <v>38152.449999999997</v>
      </c>
      <c r="N38" s="135">
        <v>8872.4500000000007</v>
      </c>
      <c r="O38" s="135"/>
      <c r="P38" s="135">
        <v>73212.36</v>
      </c>
      <c r="Q38" s="135">
        <f>SUM(R38:V38)</f>
        <v>252017.09000000003</v>
      </c>
      <c r="R38" s="135">
        <f>2636.6+200428.47+9186.29</f>
        <v>212251.36000000002</v>
      </c>
      <c r="S38" s="135">
        <f>464.91+17622.43+2868.04</f>
        <v>20955.38</v>
      </c>
      <c r="T38" s="135">
        <f>918.62+5362.73</f>
        <v>6281.3499999999995</v>
      </c>
      <c r="U38" s="135"/>
      <c r="V38" s="135">
        <v>12529</v>
      </c>
    </row>
    <row r="39" spans="1:22">
      <c r="A39" s="313"/>
      <c r="B39" s="86" t="str">
        <f>IF(L!$A$1=1,L!B160,IF(L!$A$1=2,L!C160,L!D160))</f>
        <v>2017 Gusht</v>
      </c>
      <c r="C39" s="87">
        <f t="shared" si="5"/>
        <v>2339703.4700000002</v>
      </c>
      <c r="D39" s="87">
        <f t="shared" si="7"/>
        <v>2339703.4700000002</v>
      </c>
      <c r="E39" s="129">
        <f t="shared" si="10"/>
        <v>924848.63000000012</v>
      </c>
      <c r="F39" s="87">
        <v>155833.57</v>
      </c>
      <c r="G39" s="87">
        <v>116639.45</v>
      </c>
      <c r="H39" s="87">
        <v>41470.61</v>
      </c>
      <c r="I39" s="87">
        <v>79646.44</v>
      </c>
      <c r="J39" s="87">
        <v>531258.56000000006</v>
      </c>
      <c r="K39" s="87">
        <f t="shared" ref="K39:K43" si="15">SUM(L39:P39)</f>
        <v>1102494.68</v>
      </c>
      <c r="L39" s="136">
        <v>727209.57</v>
      </c>
      <c r="M39" s="136">
        <v>88169.4</v>
      </c>
      <c r="N39" s="136">
        <v>13848.09</v>
      </c>
      <c r="O39" s="136"/>
      <c r="P39" s="136">
        <v>273267.62</v>
      </c>
      <c r="Q39" s="135">
        <f>SUM(R39:V39)</f>
        <v>312360.16000000003</v>
      </c>
      <c r="R39" s="135">
        <f>2636.6+197448.51+8716.16</f>
        <v>208801.27000000002</v>
      </c>
      <c r="S39" s="135">
        <f>445.5+82409.14+137</f>
        <v>82991.64</v>
      </c>
      <c r="T39" s="135">
        <f>107.38+6114.08+745.89</f>
        <v>6967.35</v>
      </c>
      <c r="U39" s="135"/>
      <c r="V39" s="135">
        <v>13599.9</v>
      </c>
    </row>
    <row r="40" spans="1:22">
      <c r="A40" s="313"/>
      <c r="B40" s="86" t="str">
        <f>IF(L!$A$1=1,L!B161,IF(L!$A$1=2,L!C161,L!D161))</f>
        <v>2017 Shtator</v>
      </c>
      <c r="C40" s="87">
        <f t="shared" si="5"/>
        <v>1921742.5899999999</v>
      </c>
      <c r="D40" s="87">
        <f t="shared" si="7"/>
        <v>1921742.5899999999</v>
      </c>
      <c r="E40" s="129">
        <f t="shared" si="10"/>
        <v>783860.23</v>
      </c>
      <c r="F40" s="87">
        <v>146099.64000000001</v>
      </c>
      <c r="G40" s="87">
        <v>53473.05</v>
      </c>
      <c r="H40" s="87">
        <v>23296.03</v>
      </c>
      <c r="I40" s="87">
        <v>41366.5</v>
      </c>
      <c r="J40" s="87">
        <v>519625.01</v>
      </c>
      <c r="K40" s="87">
        <f t="shared" si="15"/>
        <v>896879.44</v>
      </c>
      <c r="L40" s="135">
        <v>726408.47</v>
      </c>
      <c r="M40" s="135">
        <v>54389.8</v>
      </c>
      <c r="N40" s="135">
        <v>1472.57</v>
      </c>
      <c r="O40" s="135"/>
      <c r="P40" s="135">
        <v>114608.6</v>
      </c>
      <c r="Q40" s="135">
        <f t="shared" ref="Q40:Q43" si="16">SUM(R40:V40)</f>
        <v>241002.92</v>
      </c>
      <c r="R40" s="135">
        <f>2636.6+195503.24+8716.16</f>
        <v>206856</v>
      </c>
      <c r="S40" s="135">
        <f>549.43+15070.88+334.06</f>
        <v>15954.369999999999</v>
      </c>
      <c r="T40" s="135">
        <v>8847.7000000000007</v>
      </c>
      <c r="U40" s="135"/>
      <c r="V40" s="135">
        <v>9344.85</v>
      </c>
    </row>
    <row r="41" spans="1:22">
      <c r="A41" s="314"/>
      <c r="B41" s="86" t="str">
        <f>IF(L!$A$1=1,L!B162,IF(L!$A$1=2,L!C162,L!D162))</f>
        <v>2017 Tetor</v>
      </c>
      <c r="C41" s="87">
        <f t="shared" si="5"/>
        <v>2229752.64</v>
      </c>
      <c r="D41" s="87">
        <f t="shared" si="7"/>
        <v>2229752.64</v>
      </c>
      <c r="E41" s="129">
        <f t="shared" si="10"/>
        <v>970548.65</v>
      </c>
      <c r="F41" s="87">
        <v>151763.18</v>
      </c>
      <c r="G41" s="87">
        <v>100320.27</v>
      </c>
      <c r="H41" s="87">
        <v>31528.16</v>
      </c>
      <c r="I41" s="87">
        <v>13560</v>
      </c>
      <c r="J41" s="87">
        <v>673377.04</v>
      </c>
      <c r="K41" s="87">
        <f t="shared" si="15"/>
        <v>889918.78</v>
      </c>
      <c r="L41" s="135">
        <v>732208.44</v>
      </c>
      <c r="M41" s="135">
        <v>71900.820000000007</v>
      </c>
      <c r="N41" s="135">
        <v>13027.76</v>
      </c>
      <c r="O41" s="135"/>
      <c r="P41" s="135">
        <v>72781.759999999995</v>
      </c>
      <c r="Q41" s="135">
        <f t="shared" si="16"/>
        <v>369285.21</v>
      </c>
      <c r="R41" s="135">
        <f>2636.6+197570.95+8716.16</f>
        <v>208923.71000000002</v>
      </c>
      <c r="S41" s="135">
        <f>281.72+49880.12+565.57</f>
        <v>50727.41</v>
      </c>
      <c r="T41" s="135">
        <f>241.72+9626.67</f>
        <v>9868.39</v>
      </c>
      <c r="U41" s="135"/>
      <c r="V41" s="135">
        <f>78126.7+20000+1639</f>
        <v>99765.7</v>
      </c>
    </row>
    <row r="42" spans="1:22">
      <c r="A42" s="314"/>
      <c r="B42" s="86" t="str">
        <f>IF(L!$A$1=1,L!B163,IF(L!$A$1=2,L!C163,L!D163))</f>
        <v xml:space="preserve">2017 Nëntor </v>
      </c>
      <c r="C42" s="87">
        <f t="shared" si="5"/>
        <v>2137322.69</v>
      </c>
      <c r="D42" s="87">
        <f t="shared" si="7"/>
        <v>2137322.69</v>
      </c>
      <c r="E42" s="127">
        <f t="shared" si="10"/>
        <v>809705.4800000001</v>
      </c>
      <c r="F42" s="140">
        <v>146584.66</v>
      </c>
      <c r="G42">
        <v>36040.379999999997</v>
      </c>
      <c r="H42" s="87">
        <v>40927.75</v>
      </c>
      <c r="I42" s="87"/>
      <c r="J42" s="87">
        <v>586152.69000000006</v>
      </c>
      <c r="K42" s="87">
        <f t="shared" si="15"/>
        <v>939600.71000000008</v>
      </c>
      <c r="L42" s="135">
        <f>740002.76+787.42</f>
        <v>740790.18</v>
      </c>
      <c r="M42" s="135">
        <v>132937.51</v>
      </c>
      <c r="N42" s="135">
        <v>18121.54</v>
      </c>
      <c r="O42" s="135"/>
      <c r="P42" s="135">
        <v>47751.48</v>
      </c>
      <c r="Q42" s="135">
        <f t="shared" si="16"/>
        <v>388016.49999999994</v>
      </c>
      <c r="R42" s="135">
        <v>348605.42999999993</v>
      </c>
      <c r="S42" s="135">
        <v>4843.08</v>
      </c>
      <c r="T42" s="135">
        <v>20772.990000000002</v>
      </c>
      <c r="U42" s="135"/>
      <c r="V42" s="135">
        <v>13795</v>
      </c>
    </row>
    <row r="43" spans="1:22">
      <c r="A43" s="314"/>
      <c r="B43" s="86" t="str">
        <f>IF(L!$A$1=1,L!B164,IF(L!$A$1=2,L!C164,L!D164))</f>
        <v>2017 Dhjetor</v>
      </c>
      <c r="C43" s="87">
        <f t="shared" si="5"/>
        <v>2236443.5099999998</v>
      </c>
      <c r="D43" s="87">
        <f t="shared" si="7"/>
        <v>2236443.5099999998</v>
      </c>
      <c r="E43" s="127">
        <f t="shared" si="10"/>
        <v>1215550</v>
      </c>
      <c r="F43" s="143">
        <f>146940+620</f>
        <v>147560</v>
      </c>
      <c r="G43" s="87">
        <v>83569</v>
      </c>
      <c r="H43" s="87">
        <v>35747</v>
      </c>
      <c r="I43" s="87"/>
      <c r="J43" s="87">
        <v>948674</v>
      </c>
      <c r="K43" s="87">
        <f t="shared" si="15"/>
        <v>839865.35999999987</v>
      </c>
      <c r="L43" s="135">
        <f>738302.32+663</f>
        <v>738965.32</v>
      </c>
      <c r="M43" s="135">
        <f>64487.59+12156</f>
        <v>76643.59</v>
      </c>
      <c r="N43" s="135">
        <v>8517.2099999999991</v>
      </c>
      <c r="O43" s="135"/>
      <c r="P43" s="135">
        <v>15739.24</v>
      </c>
      <c r="Q43" s="135">
        <f t="shared" si="16"/>
        <v>181028.15000000002</v>
      </c>
      <c r="R43" s="135">
        <v>69725.279999999999</v>
      </c>
      <c r="S43" s="135">
        <v>56548.73</v>
      </c>
      <c r="T43" s="135">
        <f>15475.04-5245</f>
        <v>10230.040000000001</v>
      </c>
      <c r="U43" s="135">
        <v>8500</v>
      </c>
      <c r="V43" s="135">
        <v>36024.1</v>
      </c>
    </row>
    <row r="44" spans="1:22">
      <c r="A44" s="315"/>
      <c r="B44" s="93" t="str">
        <f>IF(L!$A$1=1,L!B165,IF(L!$A$1=2,L!C165,L!D165))</f>
        <v>Gjithsej 2017</v>
      </c>
      <c r="C44" s="94">
        <f t="shared" si="5"/>
        <v>23082881.73</v>
      </c>
      <c r="D44" s="95">
        <f>SUM(D32:D43)</f>
        <v>23082881.730000004</v>
      </c>
      <c r="E44" s="95">
        <f t="shared" ref="E44:E56" si="17">SUM(F44:J44)</f>
        <v>9106687.1000000015</v>
      </c>
      <c r="F44" s="95">
        <f t="shared" ref="F44:J44" si="18">SUM(F32:F43)</f>
        <v>1829536.0099999998</v>
      </c>
      <c r="G44" s="95">
        <f t="shared" si="18"/>
        <v>1068687.33</v>
      </c>
      <c r="H44" s="95">
        <f t="shared" si="18"/>
        <v>445723.43</v>
      </c>
      <c r="I44" s="95">
        <f t="shared" si="18"/>
        <v>268757.94</v>
      </c>
      <c r="J44" s="95">
        <f t="shared" si="18"/>
        <v>5493982.3900000006</v>
      </c>
      <c r="K44" s="95">
        <f>SUM(L44:P44)</f>
        <v>10644052.18</v>
      </c>
      <c r="L44" s="207">
        <f t="shared" ref="L44:P44" si="19">SUM(L32:L43)</f>
        <v>8890808.2799999993</v>
      </c>
      <c r="M44" s="207">
        <f t="shared" si="19"/>
        <v>848730.34</v>
      </c>
      <c r="N44" s="207">
        <f t="shared" si="19"/>
        <v>131953.84</v>
      </c>
      <c r="O44" s="207">
        <f t="shared" si="19"/>
        <v>0</v>
      </c>
      <c r="P44" s="207">
        <f t="shared" si="19"/>
        <v>772559.72</v>
      </c>
      <c r="Q44" s="207">
        <f>SUM(R44:V44)</f>
        <v>3332142.4499999993</v>
      </c>
      <c r="R44" s="207">
        <f t="shared" ref="R44:V44" si="20">SUM(R32:R43)</f>
        <v>2499008.9199999995</v>
      </c>
      <c r="S44" s="207">
        <f t="shared" si="20"/>
        <v>489702.07</v>
      </c>
      <c r="T44" s="207">
        <f>SUM(T33:T43)</f>
        <v>106185.66</v>
      </c>
      <c r="U44" s="207">
        <f t="shared" si="20"/>
        <v>18050</v>
      </c>
      <c r="V44" s="207">
        <f t="shared" si="20"/>
        <v>219195.80000000002</v>
      </c>
    </row>
    <row r="45" spans="1:22">
      <c r="A45" s="313">
        <v>2018</v>
      </c>
      <c r="B45" s="86" t="str">
        <f>IF(L!$A$1=1,L!B166,IF(L!$A$1=2,L!C166,L!D166))</f>
        <v>2018 Janar</v>
      </c>
      <c r="C45" s="135">
        <f t="shared" ref="C45:C57" si="21">E45+K45+Q45</f>
        <v>1903081.1600000001</v>
      </c>
      <c r="D45" s="135">
        <f t="shared" ref="D45:D56" si="22">+E45+K45+Q45</f>
        <v>1903081.1600000001</v>
      </c>
      <c r="E45" s="238">
        <f t="shared" si="17"/>
        <v>630405.65</v>
      </c>
      <c r="F45" s="239">
        <v>151110.51999999999</v>
      </c>
      <c r="G45" s="239">
        <v>207337</v>
      </c>
      <c r="H45" s="239">
        <v>57634.53</v>
      </c>
      <c r="I45" s="239"/>
      <c r="J45" s="240">
        <v>214323.6</v>
      </c>
      <c r="K45" s="212">
        <f t="shared" ref="K45:K50" si="23">SUM(L45:P45)</f>
        <v>922954.33000000007</v>
      </c>
      <c r="L45" s="213">
        <v>765617.54</v>
      </c>
      <c r="M45" s="213">
        <v>74096.740000000005</v>
      </c>
      <c r="N45" s="213">
        <v>10247.049999999999</v>
      </c>
      <c r="O45" s="211"/>
      <c r="P45" s="211">
        <v>72993</v>
      </c>
      <c r="Q45" s="135">
        <f t="shared" ref="Q45:Q50" si="24">SUM(R45:V45)</f>
        <v>349721.18000000005</v>
      </c>
      <c r="R45" s="212">
        <v>215314.59</v>
      </c>
      <c r="S45" s="135">
        <v>81425.73</v>
      </c>
      <c r="T45" s="208">
        <v>20166.46</v>
      </c>
      <c r="U45" s="135"/>
      <c r="V45" s="135">
        <v>32814.400000000001</v>
      </c>
    </row>
    <row r="46" spans="1:22">
      <c r="A46" s="313"/>
      <c r="B46" s="86" t="str">
        <f>IF(L!$A$1=1,L!B167,IF(L!$A$1=2,L!C167,L!D167))</f>
        <v>2018 Shkurt</v>
      </c>
      <c r="C46" s="135">
        <f t="shared" si="21"/>
        <v>2344721.0500000003</v>
      </c>
      <c r="D46" s="135">
        <f t="shared" si="22"/>
        <v>2344721.0500000003</v>
      </c>
      <c r="E46" s="238">
        <f t="shared" si="17"/>
        <v>1066536.8500000001</v>
      </c>
      <c r="F46" s="239">
        <f>376247.45-2733.94-204277.62-9088.93</f>
        <v>160146.96000000002</v>
      </c>
      <c r="G46" s="241">
        <v>189704.4</v>
      </c>
      <c r="H46" s="241">
        <v>52794.96</v>
      </c>
      <c r="I46" s="241">
        <v>2000</v>
      </c>
      <c r="J46" s="240">
        <v>661890.53</v>
      </c>
      <c r="K46" s="212">
        <f t="shared" si="23"/>
        <v>999265.12</v>
      </c>
      <c r="L46" s="212">
        <v>783043.99</v>
      </c>
      <c r="M46" s="214">
        <v>135649.06</v>
      </c>
      <c r="N46" s="214">
        <v>17169.37</v>
      </c>
      <c r="O46" s="209"/>
      <c r="P46" s="135">
        <v>63402.7</v>
      </c>
      <c r="Q46" s="135">
        <f t="shared" si="24"/>
        <v>278919.08</v>
      </c>
      <c r="R46" s="135">
        <f>2733.94+204277.62+9088.93</f>
        <v>216100.49</v>
      </c>
      <c r="S46" s="209">
        <f>264.48+45009.2+2725.5</f>
        <v>47999.18</v>
      </c>
      <c r="T46" s="135">
        <v>5934.51</v>
      </c>
      <c r="U46" s="209"/>
      <c r="V46" s="135">
        <v>8884.9</v>
      </c>
    </row>
    <row r="47" spans="1:22">
      <c r="A47" s="313"/>
      <c r="B47" s="86" t="str">
        <f>IF(L!$A$1=1,L!B168,IF(L!$A$1=2,L!C168,L!D168))</f>
        <v xml:space="preserve">2018 Mars </v>
      </c>
      <c r="C47" s="135">
        <f t="shared" si="21"/>
        <v>1883893.77</v>
      </c>
      <c r="D47" s="135">
        <f t="shared" si="22"/>
        <v>1883893.77</v>
      </c>
      <c r="E47" s="238">
        <f t="shared" si="17"/>
        <v>702467.41999999993</v>
      </c>
      <c r="F47" s="239">
        <v>155923.15</v>
      </c>
      <c r="G47" s="241">
        <f>138864.64-379.3</f>
        <v>138485.34000000003</v>
      </c>
      <c r="H47" s="241">
        <f>2852.8+19941.34+1604.63+8167.76</f>
        <v>32566.53</v>
      </c>
      <c r="I47" s="241">
        <f>46000+16000</f>
        <v>62000</v>
      </c>
      <c r="J47" s="240">
        <f>4563.05+55426.78+1154.96+103385.5+20151.88+120168.93+8641.3</f>
        <v>313492.39999999997</v>
      </c>
      <c r="K47" s="212">
        <f t="shared" si="23"/>
        <v>914210.39</v>
      </c>
      <c r="L47" s="212">
        <v>760597.15000000014</v>
      </c>
      <c r="M47" s="214">
        <v>96267.199999999997</v>
      </c>
      <c r="N47" s="214">
        <v>9412.84</v>
      </c>
      <c r="O47" s="209"/>
      <c r="P47" s="135">
        <f>32949.7+14983.5</f>
        <v>47933.2</v>
      </c>
      <c r="Q47" s="135">
        <f t="shared" si="24"/>
        <v>267215.96000000002</v>
      </c>
      <c r="R47" s="135">
        <v>213126.64</v>
      </c>
      <c r="S47" s="209">
        <v>38617</v>
      </c>
      <c r="T47" s="209">
        <f>3640.97+541.35</f>
        <v>4182.32</v>
      </c>
      <c r="U47" s="209"/>
      <c r="V47" s="135">
        <v>11290</v>
      </c>
    </row>
    <row r="48" spans="1:22">
      <c r="A48" s="313"/>
      <c r="B48" s="86" t="str">
        <f>IF(L!$A$1=1,L!B169,IF(L!$A$1=2,L!C169,L!D169))</f>
        <v>2018 Prill</v>
      </c>
      <c r="C48" s="135">
        <f t="shared" si="21"/>
        <v>1940573.01</v>
      </c>
      <c r="D48" s="124">
        <f t="shared" si="22"/>
        <v>1940573.01</v>
      </c>
      <c r="E48" s="238">
        <f t="shared" si="17"/>
        <v>686205.89999999991</v>
      </c>
      <c r="F48" s="239">
        <f>368158.8-2733.94-202065.3-9088.93</f>
        <v>154270.63</v>
      </c>
      <c r="G48" s="239">
        <f>279831.15-929.82-73342.77-2026.46</f>
        <v>203532.1</v>
      </c>
      <c r="H48" s="239">
        <f>57468.19-1907.26-11213.05</f>
        <v>44347.880000000005</v>
      </c>
      <c r="I48" s="239">
        <v>37117.599999999999</v>
      </c>
      <c r="J48" s="240">
        <f>278417.69-31480</f>
        <v>246937.69</v>
      </c>
      <c r="K48" s="212">
        <f t="shared" si="23"/>
        <v>919579.58</v>
      </c>
      <c r="L48" s="212">
        <v>759811.7</v>
      </c>
      <c r="M48" s="212">
        <v>89425.26</v>
      </c>
      <c r="N48" s="212">
        <v>21779.35</v>
      </c>
      <c r="O48" s="135"/>
      <c r="P48" s="135">
        <v>48563.27</v>
      </c>
      <c r="Q48" s="135">
        <f t="shared" si="24"/>
        <v>334787.52999999997</v>
      </c>
      <c r="R48" s="135">
        <f>2733.94+202065.3+9088.93</f>
        <v>213888.16999999998</v>
      </c>
      <c r="S48" s="135">
        <f>929.82+73342.77+2026.46</f>
        <v>76299.050000000017</v>
      </c>
      <c r="T48" s="209">
        <f>1907.26+11213.05</f>
        <v>13120.31</v>
      </c>
      <c r="U48" s="135"/>
      <c r="V48" s="135">
        <v>31480</v>
      </c>
    </row>
    <row r="49" spans="1:22">
      <c r="A49" s="313"/>
      <c r="B49" s="86" t="str">
        <f>IF(L!$A$1=1,L!B170,IF(L!$A$1=2,L!C170,L!D170))</f>
        <v>2018 Maj</v>
      </c>
      <c r="C49" s="135">
        <f t="shared" si="21"/>
        <v>1647091.5899999999</v>
      </c>
      <c r="D49" s="124">
        <f t="shared" si="22"/>
        <v>1647091.5899999999</v>
      </c>
      <c r="E49" s="242">
        <f t="shared" si="17"/>
        <v>507296.81999999995</v>
      </c>
      <c r="F49" s="243">
        <v>154287</v>
      </c>
      <c r="G49" s="243">
        <v>121627</v>
      </c>
      <c r="H49" s="243">
        <f>46486-727.62-8072.78</f>
        <v>37685.599999999999</v>
      </c>
      <c r="I49" s="243">
        <v>46500</v>
      </c>
      <c r="J49" s="244">
        <v>147197.22</v>
      </c>
      <c r="K49" s="135">
        <f t="shared" si="23"/>
        <v>833032.1</v>
      </c>
      <c r="L49" s="135">
        <v>764397.72</v>
      </c>
      <c r="M49" s="135">
        <f>68634.38-8542.11</f>
        <v>60092.270000000004</v>
      </c>
      <c r="N49" s="135">
        <v>8542.11</v>
      </c>
      <c r="O49" s="135"/>
      <c r="P49" s="135"/>
      <c r="Q49" s="135">
        <f t="shared" si="24"/>
        <v>306762.67</v>
      </c>
      <c r="R49" s="135">
        <v>213819.73</v>
      </c>
      <c r="S49" s="135">
        <v>35055</v>
      </c>
      <c r="T49" s="135">
        <v>8800</v>
      </c>
      <c r="U49" s="135">
        <f>16000-900</f>
        <v>15100</v>
      </c>
      <c r="V49" s="208">
        <v>33987.94</v>
      </c>
    </row>
    <row r="50" spans="1:22">
      <c r="A50" s="313"/>
      <c r="B50" s="86" t="str">
        <f>IF(L!$A$1=1,L!B171,IF(L!$A$1=2,L!C171,L!D171))</f>
        <v>2018 Qershor</v>
      </c>
      <c r="C50" s="135">
        <f t="shared" si="21"/>
        <v>1712482.94</v>
      </c>
      <c r="D50" s="124">
        <f t="shared" si="22"/>
        <v>1712482.94</v>
      </c>
      <c r="E50" s="242">
        <f t="shared" si="17"/>
        <v>569679.85</v>
      </c>
      <c r="F50" s="243">
        <f>375525.42-213980</f>
        <v>161545.41999999998</v>
      </c>
      <c r="G50" s="243">
        <f>89778.86-246.07-307.9-27943.99</f>
        <v>61280.899999999994</v>
      </c>
      <c r="H50" s="243">
        <f>30837.14-354.12-4469.2</f>
        <v>26013.82</v>
      </c>
      <c r="I50" s="243">
        <f>1907+22495.95+13882.2</f>
        <v>38285.15</v>
      </c>
      <c r="J50" s="244">
        <f>295023.27-12468.71</f>
        <v>282554.56</v>
      </c>
      <c r="K50" s="135">
        <f t="shared" si="23"/>
        <v>891264.75999999989</v>
      </c>
      <c r="L50" s="135">
        <v>762626.97</v>
      </c>
      <c r="M50" s="135">
        <f>128637.79-76154.2-2788</f>
        <v>49695.59</v>
      </c>
      <c r="N50" s="135"/>
      <c r="O50" s="135"/>
      <c r="P50" s="135">
        <f>76154.2+2788</f>
        <v>78942.2</v>
      </c>
      <c r="Q50" s="135">
        <f t="shared" si="24"/>
        <v>251538.33000000002</v>
      </c>
      <c r="R50" s="135">
        <f>202063.54+2733.94+9182.47</f>
        <v>213979.95</v>
      </c>
      <c r="S50" s="135">
        <f>27943.99+307.9+246.07</f>
        <v>28497.960000000003</v>
      </c>
      <c r="T50" s="135">
        <f>4469.2+354.12</f>
        <v>4823.32</v>
      </c>
      <c r="U50" s="135">
        <v>800</v>
      </c>
      <c r="V50" s="135">
        <v>3437.1</v>
      </c>
    </row>
    <row r="51" spans="1:22">
      <c r="A51" s="313"/>
      <c r="B51" s="86" t="str">
        <f>IF(L!$A$1=1,L!B172,IF(L!$A$1=2,L!C172,L!D172))</f>
        <v>2018 Korrik</v>
      </c>
      <c r="C51" s="87">
        <f t="shared" si="21"/>
        <v>2924949.8</v>
      </c>
      <c r="D51" s="124">
        <f t="shared" si="22"/>
        <v>2924949.8</v>
      </c>
      <c r="E51" s="242">
        <f t="shared" si="17"/>
        <v>1637767.74</v>
      </c>
      <c r="F51" s="243">
        <v>157459.29</v>
      </c>
      <c r="G51" s="243">
        <v>142815.98000000001</v>
      </c>
      <c r="H51" s="243">
        <v>34993.910000000003</v>
      </c>
      <c r="I51" s="243">
        <v>65919.199999999997</v>
      </c>
      <c r="J51" s="245">
        <v>1236579.3599999999</v>
      </c>
      <c r="K51" s="87">
        <f>SUM(L51:P51)</f>
        <v>987922.53999999992</v>
      </c>
      <c r="L51" s="124">
        <f>744178.09+30748.48</f>
        <v>774926.57</v>
      </c>
      <c r="M51" s="124">
        <f>523.3+970+369.5+5747+600+410.87+2249.94+1260+7102.48+965.58+3178.5+140+2390.4+153+3518+120+1957.6+15+168.3</f>
        <v>31839.47</v>
      </c>
      <c r="N51" s="124">
        <f>5464.43+4153.98+16697.15+998.04</f>
        <v>27313.600000000002</v>
      </c>
      <c r="O51" s="124"/>
      <c r="P51" s="232">
        <f>66.44+90392.8+63383.66</f>
        <v>153842.90000000002</v>
      </c>
      <c r="Q51" s="87">
        <f>SUM(R51:V51)</f>
        <v>299259.52000000002</v>
      </c>
      <c r="R51" s="87">
        <v>212867.15</v>
      </c>
      <c r="S51" s="87">
        <v>63583.5</v>
      </c>
      <c r="T51" s="87">
        <v>11059.31</v>
      </c>
      <c r="U51" s="87">
        <v>1900</v>
      </c>
      <c r="V51" s="139">
        <v>9849.56</v>
      </c>
    </row>
    <row r="52" spans="1:22">
      <c r="A52" s="313"/>
      <c r="B52" s="86" t="str">
        <f>IF(L!$A$1=1,L!B173,IF(L!$A$1=2,L!C173,L!D173))</f>
        <v>2018 Gusht</v>
      </c>
      <c r="C52" s="87">
        <f t="shared" si="21"/>
        <v>1778530.55</v>
      </c>
      <c r="D52" s="124">
        <f t="shared" si="22"/>
        <v>1778530.55</v>
      </c>
      <c r="E52" s="242">
        <f t="shared" si="17"/>
        <v>569796.5</v>
      </c>
      <c r="F52" s="124">
        <v>158797.20000000001</v>
      </c>
      <c r="G52" s="124">
        <f>167795.34-48163-16657.98</f>
        <v>102974.36</v>
      </c>
      <c r="H52" s="124">
        <v>16832.240000000002</v>
      </c>
      <c r="I52" s="124">
        <f>12701.8+1500+8368.2</f>
        <v>22570</v>
      </c>
      <c r="J52" s="244">
        <f>353227.2-67893.3-16711.2</f>
        <v>268622.7</v>
      </c>
      <c r="K52" s="87">
        <f t="shared" ref="K52:K56" si="25">SUM(L52:P52)</f>
        <v>917754.8</v>
      </c>
      <c r="L52" s="126">
        <f>752834.79+544.13</f>
        <v>753378.92</v>
      </c>
      <c r="M52" s="126">
        <f>79771.38-N52</f>
        <v>78617.52</v>
      </c>
      <c r="N52" s="126">
        <v>1153.8599999999999</v>
      </c>
      <c r="O52" s="126"/>
      <c r="P52" s="126">
        <f>67893.3+16711.2</f>
        <v>84604.5</v>
      </c>
      <c r="Q52" s="87">
        <f>SUM(R52:V52)</f>
        <v>290979.25</v>
      </c>
      <c r="R52" s="87">
        <v>211299.75</v>
      </c>
      <c r="S52" s="87">
        <f>1133+29299.4+307.43+13507.43</f>
        <v>44247.26</v>
      </c>
      <c r="T52" s="87">
        <v>3741.44</v>
      </c>
      <c r="U52" s="87">
        <v>1900</v>
      </c>
      <c r="V52" s="87">
        <v>29790.799999999999</v>
      </c>
    </row>
    <row r="53" spans="1:22">
      <c r="A53" s="313"/>
      <c r="B53" s="86" t="str">
        <f>IF(L!$A$1=1,L!B174,IF(L!$A$1=2,L!C174,L!D174))</f>
        <v>2018 Shtator</v>
      </c>
      <c r="C53" s="87">
        <f t="shared" si="21"/>
        <v>1801836.3500000003</v>
      </c>
      <c r="D53" s="124">
        <f t="shared" si="22"/>
        <v>1801836.3500000003</v>
      </c>
      <c r="E53" s="242">
        <f t="shared" si="17"/>
        <v>703236.57000000007</v>
      </c>
      <c r="F53" s="124">
        <v>155570.15</v>
      </c>
      <c r="G53" s="124">
        <v>73470.179999999993</v>
      </c>
      <c r="H53" s="124">
        <v>20963.28</v>
      </c>
      <c r="I53" s="124">
        <v>4490</v>
      </c>
      <c r="J53" s="124">
        <v>448742.96</v>
      </c>
      <c r="K53" s="87">
        <f t="shared" si="25"/>
        <v>867232.19000000018</v>
      </c>
      <c r="L53" s="124">
        <v>751769.92</v>
      </c>
      <c r="M53" s="124">
        <v>39134.69</v>
      </c>
      <c r="N53" s="124">
        <v>979.68</v>
      </c>
      <c r="O53" s="124"/>
      <c r="P53" s="124">
        <v>75347.899999999994</v>
      </c>
      <c r="Q53" s="87">
        <f t="shared" ref="Q53:Q56" si="26">SUM(R53:V53)</f>
        <v>231367.59</v>
      </c>
      <c r="R53" s="87">
        <v>214409.33</v>
      </c>
      <c r="S53" s="87">
        <v>16823</v>
      </c>
      <c r="T53" s="87">
        <v>135.26</v>
      </c>
      <c r="U53" s="87"/>
      <c r="V53" s="87"/>
    </row>
    <row r="54" spans="1:22">
      <c r="A54" s="314"/>
      <c r="B54" s="86" t="str">
        <f>IF(L!$A$1=1,L!B175,IF(L!$A$1=2,L!C175,L!D175))</f>
        <v>2018 Tetor</v>
      </c>
      <c r="C54" s="87">
        <f t="shared" si="21"/>
        <v>2232204.09</v>
      </c>
      <c r="D54" s="124">
        <f t="shared" si="22"/>
        <v>2232204.09</v>
      </c>
      <c r="E54" s="242">
        <f t="shared" si="17"/>
        <v>1032139.23</v>
      </c>
      <c r="F54" s="124">
        <v>157295.32</v>
      </c>
      <c r="G54" s="124">
        <v>96623.3</v>
      </c>
      <c r="H54" s="124">
        <v>47609.440000000002</v>
      </c>
      <c r="I54" s="124"/>
      <c r="J54" s="124">
        <f>734638.17-4027</f>
        <v>730611.17</v>
      </c>
      <c r="K54" s="87">
        <f t="shared" si="25"/>
        <v>922967.3</v>
      </c>
      <c r="L54" s="87">
        <v>751234.27</v>
      </c>
      <c r="M54" s="236">
        <v>20565.169999999998</v>
      </c>
      <c r="N54" s="237">
        <v>21824.46</v>
      </c>
      <c r="O54" s="236"/>
      <c r="P54" s="236">
        <v>129343.4</v>
      </c>
      <c r="Q54" s="87">
        <f t="shared" si="26"/>
        <v>277097.56</v>
      </c>
      <c r="R54" s="87">
        <v>212615.29</v>
      </c>
      <c r="S54" s="87">
        <v>49634.2</v>
      </c>
      <c r="T54" s="87">
        <v>10721.07</v>
      </c>
      <c r="U54" s="87">
        <v>100</v>
      </c>
      <c r="V54" s="87">
        <v>4027</v>
      </c>
    </row>
    <row r="55" spans="1:22">
      <c r="A55" s="314"/>
      <c r="B55" s="86" t="str">
        <f>IF(L!$A$1=1,L!B176,IF(L!$A$1=2,L!C176,L!D176))</f>
        <v xml:space="preserve">2018 Nëntor </v>
      </c>
      <c r="C55" s="87">
        <f t="shared" si="21"/>
        <v>2141106.08</v>
      </c>
      <c r="D55" s="87">
        <f t="shared" si="22"/>
        <v>2141106.08</v>
      </c>
      <c r="E55" s="242">
        <f t="shared" si="17"/>
        <v>889220.08000000007</v>
      </c>
      <c r="F55" s="246">
        <v>156487.67999999999</v>
      </c>
      <c r="G55" s="247">
        <v>68806.37</v>
      </c>
      <c r="H55" s="124">
        <v>38184.589999999997</v>
      </c>
      <c r="I55" s="124">
        <v>778.4</v>
      </c>
      <c r="J55" s="124">
        <v>624963.04</v>
      </c>
      <c r="K55" s="87">
        <f t="shared" si="25"/>
        <v>964471.94000000006</v>
      </c>
      <c r="L55" s="87">
        <v>750354.39</v>
      </c>
      <c r="M55" s="87">
        <v>108485.68</v>
      </c>
      <c r="N55" s="87">
        <v>10324.870000000001</v>
      </c>
      <c r="O55" s="87"/>
      <c r="P55" s="87">
        <v>95307</v>
      </c>
      <c r="Q55" s="87">
        <f t="shared" si="26"/>
        <v>287414.06</v>
      </c>
      <c r="R55" s="87">
        <v>212210.47</v>
      </c>
      <c r="S55" s="87">
        <v>60214</v>
      </c>
      <c r="T55" s="87">
        <v>5489.59</v>
      </c>
      <c r="U55" s="87"/>
      <c r="V55" s="87">
        <v>9500</v>
      </c>
    </row>
    <row r="56" spans="1:22">
      <c r="A56" s="314"/>
      <c r="B56" s="86" t="str">
        <f>IF(L!$A$1=1,L!B177,IF(L!$A$1=2,L!C177,L!D177))</f>
        <v>2018 Dhjetor</v>
      </c>
      <c r="C56" s="87">
        <f t="shared" si="21"/>
        <v>2493940.1799999997</v>
      </c>
      <c r="D56" s="87">
        <f t="shared" si="22"/>
        <v>2493940.1799999997</v>
      </c>
      <c r="E56" s="242">
        <f t="shared" si="17"/>
        <v>1210116.45</v>
      </c>
      <c r="F56" s="143">
        <v>185547.95</v>
      </c>
      <c r="G56" s="87">
        <v>28173.5</v>
      </c>
      <c r="H56" s="87">
        <v>58055</v>
      </c>
      <c r="I56" s="87">
        <v>800</v>
      </c>
      <c r="J56" s="87">
        <v>937540</v>
      </c>
      <c r="K56" s="87">
        <f t="shared" si="25"/>
        <v>994641.35</v>
      </c>
      <c r="L56" s="87">
        <f>791718.12+75.47</f>
        <v>791793.59</v>
      </c>
      <c r="M56" s="87">
        <v>48405</v>
      </c>
      <c r="N56" s="87">
        <v>4707.9799999999996</v>
      </c>
      <c r="O56" s="87"/>
      <c r="P56" s="87">
        <f>127841.48+21893.3</f>
        <v>149734.78</v>
      </c>
      <c r="Q56" s="87">
        <f t="shared" si="26"/>
        <v>289182.38</v>
      </c>
      <c r="R56" s="87">
        <v>216430.34</v>
      </c>
      <c r="S56" s="87">
        <v>24589.59</v>
      </c>
      <c r="T56" s="87">
        <v>17307</v>
      </c>
      <c r="U56" s="87"/>
      <c r="V56" s="87">
        <v>30855.45</v>
      </c>
    </row>
    <row r="57" spans="1:22">
      <c r="A57" s="315"/>
      <c r="B57" s="93" t="str">
        <f>IF(L!$A$1=1,L!B178,IF(L!$A$1=2,L!C178,L!D178))</f>
        <v>Gjithsej 2018</v>
      </c>
      <c r="C57" s="94">
        <f t="shared" si="21"/>
        <v>24804410.57</v>
      </c>
      <c r="D57" s="95">
        <f>SUM(D45:D56)</f>
        <v>24804410.57</v>
      </c>
      <c r="E57" s="95">
        <f t="shared" ref="E57:V57" si="27">SUM(E45:E56)</f>
        <v>10204869.059999999</v>
      </c>
      <c r="F57" s="95">
        <f t="shared" si="27"/>
        <v>1908441.2699999998</v>
      </c>
      <c r="G57" s="95">
        <f t="shared" si="27"/>
        <v>1434830.4300000002</v>
      </c>
      <c r="H57" s="95">
        <f t="shared" si="27"/>
        <v>467681.78</v>
      </c>
      <c r="I57" s="95">
        <f t="shared" si="27"/>
        <v>280460.35000000003</v>
      </c>
      <c r="J57" s="95">
        <f t="shared" si="27"/>
        <v>6113455.2300000004</v>
      </c>
      <c r="K57" s="95">
        <f t="shared" si="27"/>
        <v>11135296.4</v>
      </c>
      <c r="L57" s="95">
        <f t="shared" si="27"/>
        <v>9169552.7300000004</v>
      </c>
      <c r="M57" s="95">
        <f t="shared" si="27"/>
        <v>832273.65000000014</v>
      </c>
      <c r="N57" s="95">
        <f t="shared" si="27"/>
        <v>133455.17000000001</v>
      </c>
      <c r="O57" s="95">
        <f t="shared" si="27"/>
        <v>0</v>
      </c>
      <c r="P57" s="95">
        <f t="shared" si="27"/>
        <v>1000014.8500000001</v>
      </c>
      <c r="Q57" s="95">
        <f t="shared" si="27"/>
        <v>3464245.11</v>
      </c>
      <c r="R57" s="95">
        <f t="shared" si="27"/>
        <v>2566061.9</v>
      </c>
      <c r="S57" s="95">
        <f t="shared" si="27"/>
        <v>566985.47000000009</v>
      </c>
      <c r="T57" s="95">
        <f t="shared" si="27"/>
        <v>105480.59</v>
      </c>
      <c r="U57" s="95">
        <f t="shared" si="27"/>
        <v>19800</v>
      </c>
      <c r="V57" s="95">
        <f t="shared" si="27"/>
        <v>205917.15000000002</v>
      </c>
    </row>
    <row r="58" spans="1:22">
      <c r="A58" s="313">
        <v>2019</v>
      </c>
      <c r="B58" s="86" t="str">
        <f>IF(L!$A$1=1,L!B179,IF(L!$A$1=2,L!C179,L!D179))</f>
        <v>2019 Janar</v>
      </c>
      <c r="C58" s="135">
        <f t="shared" ref="C58:C70" si="28">E58+K58+Q58</f>
        <v>1308439.5799999998</v>
      </c>
      <c r="D58" s="135">
        <f t="shared" ref="D58:D69" si="29">+E58+K58+Q58</f>
        <v>1308439.5799999998</v>
      </c>
      <c r="E58" s="238">
        <f t="shared" ref="E58" si="30">SUM(F58:J58)</f>
        <v>270911.25</v>
      </c>
      <c r="F58" s="239">
        <v>157638.14000000001</v>
      </c>
      <c r="G58" s="239">
        <v>74968.020000000019</v>
      </c>
      <c r="H58" s="290">
        <v>38305.089999999997</v>
      </c>
      <c r="I58" s="239"/>
      <c r="J58" s="240"/>
      <c r="K58" s="212">
        <f t="shared" ref="K58" si="31">SUM(L58:P58)</f>
        <v>784318.95</v>
      </c>
      <c r="L58" s="213">
        <v>759520.95</v>
      </c>
      <c r="M58" s="213">
        <v>16284</v>
      </c>
      <c r="N58" s="213">
        <v>8514</v>
      </c>
      <c r="O58" s="211"/>
      <c r="P58" s="211"/>
      <c r="Q58" s="135">
        <f t="shared" ref="Q58:Q63" si="32">SUM(R58:V58)</f>
        <v>253209.37999999998</v>
      </c>
      <c r="R58" s="212">
        <v>215160.78999999998</v>
      </c>
      <c r="S58" s="135">
        <v>30103.94</v>
      </c>
      <c r="T58" s="208">
        <v>7944.65</v>
      </c>
      <c r="U58" s="135"/>
      <c r="V58" s="135"/>
    </row>
    <row r="59" spans="1:22">
      <c r="A59" s="313"/>
      <c r="B59" s="86" t="str">
        <f>IF(L!$A$1=1,L!B180,IF(L!$A$1=2,L!C180,L!D180))</f>
        <v>2019 Shkurt</v>
      </c>
      <c r="C59" s="87">
        <f t="shared" si="28"/>
        <v>1375530.8199999998</v>
      </c>
      <c r="D59" s="135">
        <f t="shared" si="29"/>
        <v>1375530.8199999998</v>
      </c>
      <c r="E59" s="87">
        <f t="shared" ref="E59:E66" si="33">+F59+G59+H59+I59+J59</f>
        <v>283590.98</v>
      </c>
      <c r="F59" s="239">
        <v>156189.18</v>
      </c>
      <c r="G59" s="241">
        <f>98572.53-9574.69-77.5</f>
        <v>88920.34</v>
      </c>
      <c r="H59" s="291">
        <v>38481.460000000006</v>
      </c>
      <c r="I59" s="241"/>
      <c r="J59" s="240"/>
      <c r="K59" s="87">
        <f t="shared" ref="K59:K64" si="34">SUM(L59:P59)</f>
        <v>838533.91999999993</v>
      </c>
      <c r="L59" s="212">
        <f>762106.48+381.83</f>
        <v>762488.30999999994</v>
      </c>
      <c r="M59" s="214">
        <v>62344.21</v>
      </c>
      <c r="N59" s="208">
        <v>13701.4</v>
      </c>
      <c r="O59" s="209"/>
      <c r="P59" s="135"/>
      <c r="Q59" s="87">
        <f t="shared" si="32"/>
        <v>253405.91999999998</v>
      </c>
      <c r="R59" s="135">
        <v>215123.46</v>
      </c>
      <c r="S59" s="209">
        <v>30321.84</v>
      </c>
      <c r="T59" s="249">
        <v>7960.62</v>
      </c>
      <c r="U59" s="209"/>
      <c r="V59" s="135"/>
    </row>
    <row r="60" spans="1:22">
      <c r="A60" s="313"/>
      <c r="B60" s="86" t="str">
        <f>IF(L!$A$1=1,L!B181,IF(L!$A$1=2,L!C181,L!D181))</f>
        <v xml:space="preserve">2019 Mars </v>
      </c>
      <c r="C60" s="87">
        <f t="shared" si="28"/>
        <v>2125514.4000000004</v>
      </c>
      <c r="D60" s="135">
        <f t="shared" si="29"/>
        <v>2125514.4000000004</v>
      </c>
      <c r="E60" s="87">
        <f t="shared" si="33"/>
        <v>826860.8600000001</v>
      </c>
      <c r="F60" s="239">
        <v>179067.28</v>
      </c>
      <c r="G60" s="249">
        <v>160067.1</v>
      </c>
      <c r="H60" s="292">
        <v>40145.770000000004</v>
      </c>
      <c r="I60" s="241">
        <v>45546</v>
      </c>
      <c r="J60" s="240">
        <v>402034.71</v>
      </c>
      <c r="K60" s="87">
        <f t="shared" si="34"/>
        <v>1006283.07</v>
      </c>
      <c r="L60" s="212">
        <v>800225.33</v>
      </c>
      <c r="M60" s="214">
        <v>186915.1</v>
      </c>
      <c r="N60" s="214">
        <v>9352.64</v>
      </c>
      <c r="O60" s="209"/>
      <c r="P60" s="135">
        <v>9790</v>
      </c>
      <c r="Q60" s="87">
        <f t="shared" si="32"/>
        <v>292370.47000000003</v>
      </c>
      <c r="R60" s="135">
        <v>217862.63</v>
      </c>
      <c r="S60" s="249">
        <v>64497.9</v>
      </c>
      <c r="T60" s="209">
        <v>10009.94</v>
      </c>
      <c r="U60" s="209"/>
      <c r="V60" s="135"/>
    </row>
    <row r="61" spans="1:22">
      <c r="A61" s="313"/>
      <c r="B61" s="86" t="str">
        <f>IF(L!$A$1=1,L!B182,IF(L!$A$1=2,L!C182,L!D182))</f>
        <v>2019 Prill</v>
      </c>
      <c r="C61" s="87">
        <f t="shared" si="28"/>
        <v>2632744.7400000002</v>
      </c>
      <c r="D61" s="135">
        <f t="shared" si="29"/>
        <v>2632744.7400000002</v>
      </c>
      <c r="E61" s="87">
        <f t="shared" si="33"/>
        <v>1249119.77</v>
      </c>
      <c r="F61" s="239">
        <v>157895.53</v>
      </c>
      <c r="G61" s="239">
        <v>319385.74000000005</v>
      </c>
      <c r="H61" s="290">
        <f>31222.65</f>
        <v>31222.65</v>
      </c>
      <c r="I61" s="239">
        <v>58267.6</v>
      </c>
      <c r="J61" s="240">
        <v>682348.25</v>
      </c>
      <c r="K61" s="87">
        <f t="shared" si="34"/>
        <v>994529.29</v>
      </c>
      <c r="L61" s="212">
        <v>767014.98</v>
      </c>
      <c r="M61" s="212">
        <v>135621.51999999999</v>
      </c>
      <c r="N61" s="212">
        <v>19847.39</v>
      </c>
      <c r="O61" s="135"/>
      <c r="P61" s="135">
        <v>72045.399999999994</v>
      </c>
      <c r="Q61" s="87">
        <f t="shared" si="32"/>
        <v>389095.68000000005</v>
      </c>
      <c r="R61" s="135">
        <v>218115.83</v>
      </c>
      <c r="S61" s="135">
        <v>120711.79</v>
      </c>
      <c r="T61" s="209">
        <v>20931.660000000003</v>
      </c>
      <c r="U61" s="135"/>
      <c r="V61" s="135">
        <v>29336.400000000001</v>
      </c>
    </row>
    <row r="62" spans="1:22">
      <c r="A62" s="313"/>
      <c r="B62" s="86" t="str">
        <f>IF(L!$A$1=1,L!B183,IF(L!$A$1=2,L!C183,L!D183))</f>
        <v>2019 Maj</v>
      </c>
      <c r="C62" s="87">
        <f t="shared" si="28"/>
        <v>2687916.44</v>
      </c>
      <c r="D62" s="135">
        <f t="shared" si="29"/>
        <v>2687916.44</v>
      </c>
      <c r="E62" s="87">
        <f t="shared" si="33"/>
        <v>1510011.18</v>
      </c>
      <c r="F62" s="243">
        <v>150216.70000000001</v>
      </c>
      <c r="G62" s="243">
        <v>35276.560000000005</v>
      </c>
      <c r="H62" s="258">
        <v>30819.59</v>
      </c>
      <c r="I62" s="243">
        <v>81889.2</v>
      </c>
      <c r="J62" s="244">
        <v>1211809.1299999999</v>
      </c>
      <c r="K62" s="87">
        <f t="shared" si="34"/>
        <v>920760.12</v>
      </c>
      <c r="L62" s="135">
        <v>772579.83</v>
      </c>
      <c r="M62" s="135">
        <v>57391.43</v>
      </c>
      <c r="N62" s="289">
        <v>23481.74</v>
      </c>
      <c r="O62" s="135"/>
      <c r="P62" s="135">
        <v>67307.12</v>
      </c>
      <c r="Q62" s="87">
        <f t="shared" si="32"/>
        <v>257145.14</v>
      </c>
      <c r="R62" s="135">
        <v>206717.2</v>
      </c>
      <c r="S62" s="249">
        <v>6929.69</v>
      </c>
      <c r="T62" s="135">
        <v>7994.75</v>
      </c>
      <c r="U62" s="135">
        <v>8900</v>
      </c>
      <c r="V62" s="249">
        <v>26603.5</v>
      </c>
    </row>
    <row r="63" spans="1:22">
      <c r="A63" s="313"/>
      <c r="B63" s="86" t="str">
        <f>IF(L!$A$1=1,L!B184,IF(L!$A$1=2,L!C184,L!D184))</f>
        <v>2019 Qershor</v>
      </c>
      <c r="C63" s="87">
        <f t="shared" si="28"/>
        <v>1702575.0299999998</v>
      </c>
      <c r="D63" s="87">
        <f t="shared" si="29"/>
        <v>1702575.0299999998</v>
      </c>
      <c r="E63" s="87">
        <f t="shared" si="33"/>
        <v>510901.39999999997</v>
      </c>
      <c r="F63" s="243">
        <v>162537</v>
      </c>
      <c r="G63" s="243">
        <v>75862.38</v>
      </c>
      <c r="H63" s="258">
        <v>35230.839999999997</v>
      </c>
      <c r="I63" s="243">
        <v>43000</v>
      </c>
      <c r="J63">
        <v>194271.18</v>
      </c>
      <c r="K63" s="87">
        <f t="shared" si="34"/>
        <v>894763.92999999993</v>
      </c>
      <c r="L63" s="135">
        <v>772106.22</v>
      </c>
      <c r="M63" s="135">
        <v>21155.040000000001</v>
      </c>
      <c r="N63" s="135">
        <v>6117.58</v>
      </c>
      <c r="O63" s="135"/>
      <c r="P63" s="135">
        <v>95385.09</v>
      </c>
      <c r="Q63" s="87">
        <f t="shared" si="32"/>
        <v>296909.7</v>
      </c>
      <c r="R63" s="135">
        <v>234361.88</v>
      </c>
      <c r="S63" s="135">
        <v>29230.86</v>
      </c>
      <c r="T63" s="135">
        <v>1169.56</v>
      </c>
      <c r="U63" s="135"/>
      <c r="V63" s="135">
        <v>32147.4</v>
      </c>
    </row>
    <row r="64" spans="1:22">
      <c r="A64" s="313"/>
      <c r="B64" s="86" t="str">
        <f>IF(L!$A$1=1,L!B185,IF(L!$A$1=2,L!C185,L!D185))</f>
        <v>2019 Korrik</v>
      </c>
      <c r="C64" s="87">
        <f t="shared" si="28"/>
        <v>3042739.99</v>
      </c>
      <c r="D64" s="135">
        <f>+E64+K64+Q64</f>
        <v>3042739.99</v>
      </c>
      <c r="E64" s="135">
        <f t="shared" si="33"/>
        <v>1691750.17</v>
      </c>
      <c r="F64" s="208">
        <v>161017.55999999997</v>
      </c>
      <c r="G64" s="258">
        <v>214344.24000000005</v>
      </c>
      <c r="H64" s="258">
        <v>20612.279999999995</v>
      </c>
      <c r="I64" s="208">
        <f>19089.2+389.2</f>
        <v>19478.400000000001</v>
      </c>
      <c r="J64" s="259">
        <v>1276297.69</v>
      </c>
      <c r="K64" s="135">
        <f t="shared" si="34"/>
        <v>1042605.3099999999</v>
      </c>
      <c r="L64" s="135">
        <v>765388.98</v>
      </c>
      <c r="M64" s="135">
        <v>116367.59</v>
      </c>
      <c r="N64" s="135">
        <v>24664.74</v>
      </c>
      <c r="O64" s="135"/>
      <c r="P64" s="212">
        <v>136183.99999999997</v>
      </c>
      <c r="Q64" s="87">
        <f>SUM(R64:V64)</f>
        <v>308384.51</v>
      </c>
      <c r="R64" s="87">
        <v>220546.97999999998</v>
      </c>
      <c r="S64" s="87">
        <v>65055.68</v>
      </c>
      <c r="T64" s="87">
        <v>4615.83</v>
      </c>
      <c r="U64" s="87">
        <v>6000</v>
      </c>
      <c r="V64" s="139">
        <v>12166.02</v>
      </c>
    </row>
    <row r="65" spans="1:22">
      <c r="A65" s="313"/>
      <c r="B65" s="86" t="str">
        <f>IF(L!$A$1=1,L!B186,IF(L!$A$1=2,L!C186,L!D186))</f>
        <v>2019 Gusht</v>
      </c>
      <c r="C65" s="87">
        <f t="shared" si="28"/>
        <v>1877272.0299999998</v>
      </c>
      <c r="D65" s="87">
        <f t="shared" si="29"/>
        <v>1877272.0299999998</v>
      </c>
      <c r="E65" s="135">
        <f t="shared" si="33"/>
        <v>669654.1</v>
      </c>
      <c r="F65" s="124">
        <v>156959.71000000002</v>
      </c>
      <c r="G65" s="124">
        <v>68235.849999999991</v>
      </c>
      <c r="H65" s="135">
        <v>20750.919999999998</v>
      </c>
      <c r="I65" s="124">
        <v>15300</v>
      </c>
      <c r="J65" s="244">
        <v>408407.62</v>
      </c>
      <c r="K65" s="87">
        <f t="shared" ref="K65:K69" si="35">SUM(L65:P65)</f>
        <v>946115.8899999999</v>
      </c>
      <c r="L65" s="126">
        <v>768068.33</v>
      </c>
      <c r="M65" s="126">
        <v>49839.25</v>
      </c>
      <c r="N65" s="136">
        <v>1267.71</v>
      </c>
      <c r="O65" s="126"/>
      <c r="P65" s="126">
        <v>126940.6</v>
      </c>
      <c r="Q65" s="87">
        <f>SUM(R65:V65)</f>
        <v>261502.04</v>
      </c>
      <c r="R65" s="87">
        <v>216941.17</v>
      </c>
      <c r="S65" s="87">
        <v>39283.58</v>
      </c>
      <c r="T65" s="87">
        <v>5177.29</v>
      </c>
      <c r="U65" s="87">
        <v>100</v>
      </c>
      <c r="V65" s="87"/>
    </row>
    <row r="66" spans="1:22">
      <c r="A66" s="313"/>
      <c r="B66" s="86" t="str">
        <f>IF(L!$A$1=1,L!B187,IF(L!$A$1=2,L!C187,L!D187))</f>
        <v>2019 Shtator</v>
      </c>
      <c r="C66" s="87">
        <f t="shared" si="28"/>
        <v>2316277.7600000002</v>
      </c>
      <c r="D66" s="87">
        <f t="shared" si="29"/>
        <v>2316277.7600000002</v>
      </c>
      <c r="E66" s="135">
        <f t="shared" si="33"/>
        <v>1006947.15</v>
      </c>
      <c r="F66" s="124">
        <v>154610.92000000001</v>
      </c>
      <c r="G66" s="124">
        <v>26926.26</v>
      </c>
      <c r="H66" s="135">
        <v>25069.24</v>
      </c>
      <c r="I66" s="124">
        <v>32300</v>
      </c>
      <c r="J66" s="124">
        <v>768040.73</v>
      </c>
      <c r="K66" s="87">
        <f t="shared" si="35"/>
        <v>1075423.05</v>
      </c>
      <c r="L66" s="124">
        <v>753790</v>
      </c>
      <c r="M66" s="124">
        <v>20466.54</v>
      </c>
      <c r="N66" s="135">
        <v>7234.34</v>
      </c>
      <c r="O66" s="124"/>
      <c r="P66" s="124">
        <v>293932.17</v>
      </c>
      <c r="Q66" s="87">
        <f t="shared" ref="Q66:Q69" si="36">SUM(R66:V66)</f>
        <v>233907.56</v>
      </c>
      <c r="R66" s="87">
        <v>214977.79</v>
      </c>
      <c r="S66" s="87">
        <v>14339.56</v>
      </c>
      <c r="T66" s="87">
        <v>3072.21</v>
      </c>
      <c r="U66" s="87"/>
      <c r="V66" s="87">
        <v>1518</v>
      </c>
    </row>
    <row r="67" spans="1:22">
      <c r="A67" s="314"/>
      <c r="B67" s="86" t="str">
        <f>IF(L!$A$1=1,L!B188,IF(L!$A$1=2,L!C188,L!D188))</f>
        <v>2019 Tetor</v>
      </c>
      <c r="C67" s="87">
        <f t="shared" si="28"/>
        <v>2078635.3499999999</v>
      </c>
      <c r="D67" s="87">
        <f t="shared" si="29"/>
        <v>2078635.3499999999</v>
      </c>
      <c r="E67" s="87">
        <f>+F67+G67+H67+I67+J67</f>
        <v>779476.05999999994</v>
      </c>
      <c r="F67" s="249">
        <v>157937.44999999995</v>
      </c>
      <c r="G67" s="124">
        <f>177078.56-660</f>
        <v>176418.56</v>
      </c>
      <c r="H67" s="135">
        <f>48868.79-10000</f>
        <v>38868.79</v>
      </c>
      <c r="I67" s="124">
        <f>6097.2+10000</f>
        <v>16097.2</v>
      </c>
      <c r="J67" s="124">
        <v>390154.06</v>
      </c>
      <c r="K67" s="87">
        <f t="shared" si="35"/>
        <v>1002399.1799999999</v>
      </c>
      <c r="L67" s="87">
        <v>757639.73</v>
      </c>
      <c r="M67" s="236">
        <v>102573.9</v>
      </c>
      <c r="N67" s="289">
        <v>29505.57</v>
      </c>
      <c r="O67" s="236"/>
      <c r="P67" s="236">
        <v>112679.98</v>
      </c>
      <c r="Q67" s="87">
        <f t="shared" si="36"/>
        <v>296760.11000000004</v>
      </c>
      <c r="R67" s="87">
        <v>219252.92</v>
      </c>
      <c r="S67" s="288">
        <v>63715.74</v>
      </c>
      <c r="T67" s="87">
        <v>2428.4499999999998</v>
      </c>
      <c r="U67" s="87">
        <v>700</v>
      </c>
      <c r="V67" s="87">
        <v>10663</v>
      </c>
    </row>
    <row r="68" spans="1:22">
      <c r="A68" s="314"/>
      <c r="B68" s="86" t="str">
        <f>IF(L!$A$1=1,L!B189,IF(L!$A$1=2,L!C189,L!D189))</f>
        <v xml:space="preserve">2019 Nëntor </v>
      </c>
      <c r="C68" s="87">
        <f t="shared" si="28"/>
        <v>2841871.58</v>
      </c>
      <c r="D68" s="87">
        <f t="shared" si="29"/>
        <v>2841871.58</v>
      </c>
      <c r="E68" s="87">
        <f>+F68+G68+H68+I68+J68</f>
        <v>1330133.1700000002</v>
      </c>
      <c r="F68" s="246">
        <v>158820.21</v>
      </c>
      <c r="G68" s="247">
        <f>164224.58-0.05</f>
        <v>164224.53</v>
      </c>
      <c r="H68" s="135">
        <v>53121.56</v>
      </c>
      <c r="I68" s="124">
        <v>3000</v>
      </c>
      <c r="J68" s="124">
        <v>950966.87000000011</v>
      </c>
      <c r="K68" s="87">
        <f t="shared" si="35"/>
        <v>1077921.93</v>
      </c>
      <c r="L68" s="87">
        <v>760447.46</v>
      </c>
      <c r="M68" s="87">
        <v>116990.30000000002</v>
      </c>
      <c r="N68" s="135">
        <v>13221.27</v>
      </c>
      <c r="O68" s="87"/>
      <c r="P68" s="287">
        <f>185742.9+1520</f>
        <v>187262.9</v>
      </c>
      <c r="Q68" s="87">
        <f t="shared" si="36"/>
        <v>433816.48000000004</v>
      </c>
      <c r="R68" s="249">
        <v>214411.34</v>
      </c>
      <c r="S68" s="87">
        <v>48581.94</v>
      </c>
      <c r="T68" s="87">
        <v>11823.199999999999</v>
      </c>
      <c r="U68" s="87">
        <v>4000</v>
      </c>
      <c r="V68" s="287">
        <v>155000</v>
      </c>
    </row>
    <row r="69" spans="1:22">
      <c r="A69" s="314"/>
      <c r="B69" s="86" t="str">
        <f>IF(L!$A$1=1,L!B190,IF(L!$A$1=2,L!C190,L!D190))</f>
        <v>2019 Dhjetor</v>
      </c>
      <c r="C69" s="87">
        <f t="shared" si="28"/>
        <v>2546898.29</v>
      </c>
      <c r="D69" s="87">
        <f t="shared" si="29"/>
        <v>2546898.29</v>
      </c>
      <c r="E69" s="87">
        <f>+F69+G69+H69+I69+J69</f>
        <v>1087209.25</v>
      </c>
      <c r="F69" s="143">
        <v>158601.29999999999</v>
      </c>
      <c r="G69" s="87">
        <v>106851</v>
      </c>
      <c r="H69" s="135">
        <v>83612.639999999999</v>
      </c>
      <c r="I69" s="87"/>
      <c r="J69" s="87">
        <v>738144.31</v>
      </c>
      <c r="K69" s="87">
        <f t="shared" si="35"/>
        <v>1137197.3699999999</v>
      </c>
      <c r="L69" s="87">
        <v>819734.88</v>
      </c>
      <c r="M69" s="87">
        <v>59674.5</v>
      </c>
      <c r="N69" s="135">
        <v>6554.19</v>
      </c>
      <c r="O69" s="87"/>
      <c r="P69" s="87">
        <v>251233.8</v>
      </c>
      <c r="Q69" s="87">
        <f t="shared" si="36"/>
        <v>322491.67</v>
      </c>
      <c r="R69" s="87">
        <v>213226.31</v>
      </c>
      <c r="S69" s="87">
        <v>45662.74</v>
      </c>
      <c r="T69" s="87">
        <v>27157.82</v>
      </c>
      <c r="U69" s="87">
        <v>300</v>
      </c>
      <c r="V69" s="87">
        <v>36144.800000000003</v>
      </c>
    </row>
    <row r="70" spans="1:22">
      <c r="A70" s="315"/>
      <c r="B70" s="93" t="str">
        <f>IF(L!$A$1=1,L!B191,IF(L!$A$1=2,L!C191,L!D191))</f>
        <v>Gjithsej 2019</v>
      </c>
      <c r="C70" s="94">
        <f t="shared" si="28"/>
        <v>26536416.009999998</v>
      </c>
      <c r="D70" s="95">
        <f>SUM(D58:D69)</f>
        <v>26536416.009999998</v>
      </c>
      <c r="E70" s="95">
        <f t="shared" ref="E70:V70" si="37">SUM(E58:E69)</f>
        <v>11216565.34</v>
      </c>
      <c r="F70" s="95">
        <f t="shared" si="37"/>
        <v>1911490.98</v>
      </c>
      <c r="G70" s="95">
        <f t="shared" si="37"/>
        <v>1511480.58</v>
      </c>
      <c r="H70" s="95">
        <f t="shared" si="37"/>
        <v>456240.82999999996</v>
      </c>
      <c r="I70" s="95">
        <f t="shared" si="37"/>
        <v>314878.39999999997</v>
      </c>
      <c r="J70" s="95">
        <f t="shared" si="37"/>
        <v>7022474.5500000007</v>
      </c>
      <c r="K70" s="95">
        <f t="shared" si="37"/>
        <v>11720852.009999998</v>
      </c>
      <c r="L70" s="95">
        <f t="shared" si="37"/>
        <v>9259005.0000000019</v>
      </c>
      <c r="M70" s="95">
        <f t="shared" si="37"/>
        <v>945623.38</v>
      </c>
      <c r="N70" s="95">
        <f t="shared" si="37"/>
        <v>163462.57</v>
      </c>
      <c r="O70" s="95">
        <f t="shared" si="37"/>
        <v>0</v>
      </c>
      <c r="P70" s="95">
        <f t="shared" si="37"/>
        <v>1352761.0599999998</v>
      </c>
      <c r="Q70" s="95">
        <f t="shared" si="37"/>
        <v>3598998.66</v>
      </c>
      <c r="R70" s="95">
        <f t="shared" si="37"/>
        <v>2606698.2999999998</v>
      </c>
      <c r="S70" s="95">
        <f t="shared" si="37"/>
        <v>558435.26</v>
      </c>
      <c r="T70" s="95">
        <f t="shared" si="37"/>
        <v>110285.98000000001</v>
      </c>
      <c r="U70" s="95">
        <f t="shared" si="37"/>
        <v>20000</v>
      </c>
      <c r="V70" s="95">
        <f t="shared" si="37"/>
        <v>303579.12</v>
      </c>
    </row>
    <row r="71" spans="1:22">
      <c r="A71" s="313">
        <v>2020</v>
      </c>
      <c r="B71" s="86" t="str">
        <f>IF(L!$A$1=1,L!B192,IF(L!$A$1=2,L!C192,L!D192))</f>
        <v>2020 Janar</v>
      </c>
      <c r="C71" s="135">
        <f t="shared" ref="C71:C83" si="38">E71+K71+Q71</f>
        <v>1448647.75</v>
      </c>
      <c r="D71" s="135">
        <f t="shared" ref="D71:D81" si="39">+E71+K71+Q71</f>
        <v>1448647.75</v>
      </c>
      <c r="E71" s="238">
        <f t="shared" ref="E71:E76" si="40">+F71+G71+H71+I71+J71</f>
        <v>394209.41</v>
      </c>
      <c r="F71" s="239">
        <v>161438.29999999999</v>
      </c>
      <c r="G71" s="239">
        <v>81290.33</v>
      </c>
      <c r="H71" s="290">
        <v>37314.11</v>
      </c>
      <c r="I71" s="239"/>
      <c r="J71" s="75">
        <v>114166.67</v>
      </c>
      <c r="K71" s="212">
        <f t="shared" ref="K71" si="41">SUM(L71:P71)</f>
        <v>807684.63</v>
      </c>
      <c r="L71" s="213">
        <v>756133.99</v>
      </c>
      <c r="M71" s="297">
        <v>40937.1</v>
      </c>
      <c r="N71" s="301">
        <v>10613.54</v>
      </c>
      <c r="O71" s="302"/>
      <c r="P71" s="302"/>
      <c r="Q71" s="303">
        <f t="shared" ref="Q71:Q76" si="42">SUM(R71:V71)</f>
        <v>246753.71000000002</v>
      </c>
      <c r="R71" s="212">
        <v>211507.7</v>
      </c>
      <c r="S71" s="135">
        <v>26322.19</v>
      </c>
      <c r="T71" s="208">
        <v>8923.82</v>
      </c>
      <c r="U71" s="135"/>
      <c r="V71" s="135"/>
    </row>
    <row r="72" spans="1:22">
      <c r="A72" s="313"/>
      <c r="B72" s="86" t="str">
        <f>IF(L!$A$1=1,L!B193,IF(L!$A$1=2,L!C193,L!D193))</f>
        <v>2020 Shkurt</v>
      </c>
      <c r="C72" s="87">
        <f t="shared" si="38"/>
        <v>1624867.58</v>
      </c>
      <c r="D72" s="135">
        <f t="shared" si="39"/>
        <v>1624867.58</v>
      </c>
      <c r="E72" s="238">
        <f t="shared" si="40"/>
        <v>478575.37</v>
      </c>
      <c r="F72" s="249">
        <v>156896.98000000004</v>
      </c>
      <c r="G72" s="241">
        <v>122969.31</v>
      </c>
      <c r="H72" s="291">
        <v>37722.32</v>
      </c>
      <c r="I72" s="241">
        <v>20389.16</v>
      </c>
      <c r="J72" s="240">
        <v>140597.6</v>
      </c>
      <c r="K72" s="87">
        <f t="shared" ref="K72:K78" si="43">SUM(L72:P72)</f>
        <v>868303.54</v>
      </c>
      <c r="L72" s="212">
        <v>768849.65</v>
      </c>
      <c r="M72" s="298">
        <v>89170.52</v>
      </c>
      <c r="N72" s="304">
        <v>10283.370000000001</v>
      </c>
      <c r="O72" s="305"/>
      <c r="P72" s="302"/>
      <c r="Q72" s="306">
        <f t="shared" si="42"/>
        <v>277988.67</v>
      </c>
      <c r="R72" s="135">
        <v>213388.91999999998</v>
      </c>
      <c r="S72" s="209">
        <v>55284.62</v>
      </c>
      <c r="T72" s="249">
        <v>9315.130000000001</v>
      </c>
      <c r="U72" s="209"/>
      <c r="V72" s="135"/>
    </row>
    <row r="73" spans="1:22">
      <c r="A73" s="313"/>
      <c r="B73" s="86" t="str">
        <f>IF(L!$A$1=1,L!B194,IF(L!$A$1=2,L!C194,L!D194))</f>
        <v xml:space="preserve">2020 Mars </v>
      </c>
      <c r="C73" s="87">
        <f t="shared" si="38"/>
        <v>1947246.31</v>
      </c>
      <c r="D73" s="87">
        <f t="shared" si="39"/>
        <v>1947246.31</v>
      </c>
      <c r="E73" s="238">
        <f t="shared" si="40"/>
        <v>477127.99</v>
      </c>
      <c r="F73" s="239">
        <v>194451.41</v>
      </c>
      <c r="G73" s="249">
        <v>143526.82000000004</v>
      </c>
      <c r="H73" s="292">
        <v>38298.54</v>
      </c>
      <c r="I73" s="241">
        <v>7000</v>
      </c>
      <c r="J73" s="240">
        <v>93851.22</v>
      </c>
      <c r="K73" s="87">
        <f>SUM(L73:P73)</f>
        <v>1130493.3700000001</v>
      </c>
      <c r="L73" s="212">
        <v>769420.11</v>
      </c>
      <c r="M73" s="299">
        <v>92614.2</v>
      </c>
      <c r="N73" s="307">
        <v>11734.56</v>
      </c>
      <c r="O73" s="305"/>
      <c r="P73" s="308">
        <v>256724.5</v>
      </c>
      <c r="Q73" s="306">
        <f t="shared" si="42"/>
        <v>339624.95</v>
      </c>
      <c r="R73" s="135">
        <v>213177.79</v>
      </c>
      <c r="S73" s="249">
        <v>112235.17</v>
      </c>
      <c r="T73" s="209">
        <v>9217.49</v>
      </c>
      <c r="U73" s="209"/>
      <c r="V73" s="135">
        <v>4994.5</v>
      </c>
    </row>
    <row r="74" spans="1:22">
      <c r="A74" s="313"/>
      <c r="B74" s="86" t="str">
        <f>IF(L!$A$1=1,L!B195,IF(L!$A$1=2,L!C195,L!D195))</f>
        <v>2020 Prill</v>
      </c>
      <c r="C74" s="87">
        <f t="shared" si="38"/>
        <v>2252435.89</v>
      </c>
      <c r="D74" s="87">
        <f t="shared" si="39"/>
        <v>2252435.89</v>
      </c>
      <c r="E74" s="238">
        <f t="shared" si="40"/>
        <v>899826.17999999993</v>
      </c>
      <c r="F74" s="249">
        <f>177154.19+2205</f>
        <v>179359.19</v>
      </c>
      <c r="G74" s="239">
        <v>171456.58000000002</v>
      </c>
      <c r="H74" s="290">
        <v>44169.590000000011</v>
      </c>
      <c r="I74" s="239">
        <v>11151.78</v>
      </c>
      <c r="J74" s="240">
        <v>493689.03999999992</v>
      </c>
      <c r="K74" s="87">
        <f t="shared" si="43"/>
        <v>969519.07</v>
      </c>
      <c r="L74" s="212">
        <v>770125.21</v>
      </c>
      <c r="M74" s="300">
        <v>72518.069999999992</v>
      </c>
      <c r="N74" s="309">
        <v>10815.52</v>
      </c>
      <c r="O74" s="309"/>
      <c r="P74" s="309">
        <v>116060.27</v>
      </c>
      <c r="Q74" s="306">
        <f t="shared" si="42"/>
        <v>383090.64</v>
      </c>
      <c r="R74" s="295">
        <v>299028.32</v>
      </c>
      <c r="S74" s="135">
        <v>60150.9</v>
      </c>
      <c r="T74" s="249">
        <v>23911.42</v>
      </c>
      <c r="U74" s="135"/>
      <c r="V74" s="135"/>
    </row>
    <row r="75" spans="1:22">
      <c r="A75" s="313"/>
      <c r="B75" s="86" t="str">
        <f>IF(L!$A$1=1,L!B196,IF(L!$A$1=2,L!C196,L!D196))</f>
        <v>2020 Maj</v>
      </c>
      <c r="C75" s="87">
        <f t="shared" si="38"/>
        <v>2540040.5999999996</v>
      </c>
      <c r="D75" s="87">
        <f t="shared" si="39"/>
        <v>2540040.5999999996</v>
      </c>
      <c r="E75" s="238">
        <f t="shared" si="40"/>
        <v>1346027.42</v>
      </c>
      <c r="F75" s="243">
        <v>175103.74</v>
      </c>
      <c r="G75" s="243">
        <v>207652.41999999995</v>
      </c>
      <c r="H75" s="258">
        <v>29574.63</v>
      </c>
      <c r="I75" s="243">
        <v>46190.55</v>
      </c>
      <c r="J75" s="244">
        <v>887506.08</v>
      </c>
      <c r="K75" s="87">
        <f t="shared" si="43"/>
        <v>806229.21</v>
      </c>
      <c r="L75" s="135">
        <v>757937.57</v>
      </c>
      <c r="M75" s="297">
        <v>46372.3</v>
      </c>
      <c r="N75" s="310">
        <v>1919.34</v>
      </c>
      <c r="O75" s="302"/>
      <c r="P75" s="302"/>
      <c r="Q75" s="306">
        <f t="shared" si="42"/>
        <v>387783.97</v>
      </c>
      <c r="R75" s="135">
        <v>317720.86</v>
      </c>
      <c r="S75" s="249">
        <v>33808.600000000006</v>
      </c>
      <c r="T75" s="135">
        <v>2094.5100000000002</v>
      </c>
      <c r="U75" s="135"/>
      <c r="V75" s="249">
        <v>34160</v>
      </c>
    </row>
    <row r="76" spans="1:22">
      <c r="A76" s="313"/>
      <c r="B76" s="86" t="str">
        <f>IF(L!$A$1=1,L!B197,IF(L!$A$1=2,L!C197,L!D197))</f>
        <v>2020 Qershor</v>
      </c>
      <c r="C76" s="87">
        <f t="shared" si="38"/>
        <v>1915168.37</v>
      </c>
      <c r="D76" s="87">
        <f t="shared" si="39"/>
        <v>1915168.37</v>
      </c>
      <c r="E76" s="238">
        <f t="shared" si="40"/>
        <v>867213.05</v>
      </c>
      <c r="F76" s="243">
        <v>157435.51999999999</v>
      </c>
      <c r="G76" s="243">
        <v>139614.31</v>
      </c>
      <c r="H76" s="258">
        <v>28905.820000000003</v>
      </c>
      <c r="I76" s="243">
        <v>32350</v>
      </c>
      <c r="J76">
        <v>508907.4</v>
      </c>
      <c r="K76" s="87">
        <f t="shared" si="43"/>
        <v>798090.76</v>
      </c>
      <c r="L76" s="135">
        <v>769199.40999999992</v>
      </c>
      <c r="M76" s="297">
        <v>25336.42</v>
      </c>
      <c r="N76" s="311">
        <v>3554.93</v>
      </c>
      <c r="O76" s="311"/>
      <c r="P76" s="311"/>
      <c r="Q76" s="312">
        <f t="shared" si="42"/>
        <v>249864.56000000003</v>
      </c>
      <c r="R76" s="135">
        <v>220232.85</v>
      </c>
      <c r="S76" s="135">
        <v>29138.79</v>
      </c>
      <c r="T76" s="135">
        <v>492.92</v>
      </c>
      <c r="U76" s="135"/>
      <c r="V76" s="135"/>
    </row>
    <row r="77" spans="1:22">
      <c r="A77" s="313"/>
      <c r="B77" s="86" t="str">
        <f>IF(L!$A$1=1,L!B198,IF(L!$A$1=2,L!C198,L!D198))</f>
        <v>2020 Korrik</v>
      </c>
      <c r="C77" s="87">
        <f t="shared" si="38"/>
        <v>0</v>
      </c>
      <c r="D77" s="87">
        <f t="shared" si="39"/>
        <v>0</v>
      </c>
      <c r="E77" s="135"/>
      <c r="F77" s="208"/>
      <c r="G77" s="258"/>
      <c r="H77" s="258"/>
      <c r="I77" s="208"/>
      <c r="J77" s="259"/>
      <c r="K77" s="87">
        <f t="shared" si="43"/>
        <v>0</v>
      </c>
      <c r="L77" s="135"/>
      <c r="M77" s="135"/>
      <c r="N77" s="135"/>
      <c r="O77" s="135"/>
      <c r="P77" s="212"/>
      <c r="Q77" s="87">
        <f>SUM(R77:V77)</f>
        <v>0</v>
      </c>
      <c r="R77" s="87"/>
      <c r="S77" s="87"/>
      <c r="T77" s="87"/>
      <c r="U77" s="87"/>
      <c r="V77" s="139"/>
    </row>
    <row r="78" spans="1:22">
      <c r="A78" s="313"/>
      <c r="B78" s="86" t="str">
        <f>IF(L!$A$1=1,L!B199,IF(L!$A$1=2,L!C199,L!D199))</f>
        <v>2020 Gusht</v>
      </c>
      <c r="C78" s="87">
        <f t="shared" si="38"/>
        <v>0</v>
      </c>
      <c r="D78" s="87">
        <f t="shared" si="39"/>
        <v>0</v>
      </c>
      <c r="E78" s="135"/>
      <c r="F78" s="124"/>
      <c r="G78" s="124"/>
      <c r="H78" s="135"/>
      <c r="I78" s="124"/>
      <c r="J78" s="244"/>
      <c r="K78" s="87">
        <f t="shared" si="43"/>
        <v>0</v>
      </c>
      <c r="L78" s="126"/>
      <c r="M78" s="126"/>
      <c r="N78" s="136"/>
      <c r="O78" s="126"/>
      <c r="P78" s="126"/>
      <c r="Q78" s="87">
        <f>SUM(R78:V78)</f>
        <v>0</v>
      </c>
      <c r="R78" s="87"/>
      <c r="S78" s="87"/>
      <c r="T78" s="87"/>
      <c r="U78" s="87"/>
      <c r="V78" s="87"/>
    </row>
    <row r="79" spans="1:22">
      <c r="A79" s="313"/>
      <c r="B79" s="86" t="str">
        <f>IF(L!$A$1=1,L!B200,IF(L!$A$1=2,L!C200,L!D200))</f>
        <v>2020 Shtator</v>
      </c>
      <c r="C79" s="87">
        <f t="shared" si="38"/>
        <v>0</v>
      </c>
      <c r="D79" s="87">
        <f t="shared" si="39"/>
        <v>0</v>
      </c>
      <c r="E79" s="135"/>
      <c r="F79" s="124"/>
      <c r="G79" s="124"/>
      <c r="H79" s="135"/>
      <c r="I79" s="124"/>
      <c r="J79" s="124"/>
      <c r="K79" s="87">
        <f t="shared" ref="K79:K82" si="44">SUM(L79:P79)</f>
        <v>0</v>
      </c>
      <c r="L79" s="124"/>
      <c r="M79" s="124"/>
      <c r="N79" s="135"/>
      <c r="O79" s="124"/>
      <c r="P79" s="124"/>
      <c r="Q79" s="87">
        <f t="shared" ref="Q79:Q82" si="45">SUM(R79:V79)</f>
        <v>0</v>
      </c>
      <c r="R79" s="87"/>
      <c r="S79" s="87"/>
      <c r="T79" s="87"/>
      <c r="U79" s="87"/>
      <c r="V79" s="87"/>
    </row>
    <row r="80" spans="1:22">
      <c r="A80" s="314"/>
      <c r="B80" s="86" t="str">
        <f>IF(L!$A$1=1,L!B201,IF(L!$A$1=2,L!C201,L!D201))</f>
        <v>2020 Tetor</v>
      </c>
      <c r="C80" s="87">
        <f t="shared" si="38"/>
        <v>0</v>
      </c>
      <c r="D80" s="87">
        <f t="shared" si="39"/>
        <v>0</v>
      </c>
      <c r="E80" s="87"/>
      <c r="F80" s="249"/>
      <c r="G80" s="124"/>
      <c r="H80" s="135"/>
      <c r="I80" s="124"/>
      <c r="J80" s="124"/>
      <c r="K80" s="87">
        <f t="shared" si="44"/>
        <v>0</v>
      </c>
      <c r="L80" s="87"/>
      <c r="M80" s="236"/>
      <c r="N80" s="289"/>
      <c r="O80" s="236"/>
      <c r="P80" s="236"/>
      <c r="Q80" s="87">
        <f t="shared" si="45"/>
        <v>0</v>
      </c>
      <c r="R80" s="87"/>
      <c r="S80" s="288"/>
      <c r="T80" s="87"/>
      <c r="U80" s="87"/>
      <c r="V80" s="87"/>
    </row>
    <row r="81" spans="1:22">
      <c r="A81" s="314"/>
      <c r="B81" s="86" t="str">
        <f>IF(L!$A$1=1,L!B202,IF(L!$A$1=2,L!C202,L!D202))</f>
        <v xml:space="preserve">2020 Nëntor </v>
      </c>
      <c r="C81" s="87">
        <f t="shared" si="38"/>
        <v>0</v>
      </c>
      <c r="D81" s="87">
        <f t="shared" si="39"/>
        <v>0</v>
      </c>
      <c r="E81" s="87"/>
      <c r="F81" s="246"/>
      <c r="G81" s="247"/>
      <c r="H81" s="135"/>
      <c r="I81" s="124"/>
      <c r="J81" s="124"/>
      <c r="K81" s="87">
        <f t="shared" si="44"/>
        <v>0</v>
      </c>
      <c r="L81" s="87"/>
      <c r="M81" s="87"/>
      <c r="N81" s="135"/>
      <c r="O81" s="87"/>
      <c r="P81" s="287"/>
      <c r="Q81" s="87">
        <f t="shared" si="45"/>
        <v>0</v>
      </c>
      <c r="R81" s="249"/>
      <c r="S81" s="87"/>
      <c r="T81" s="87"/>
      <c r="U81" s="87"/>
      <c r="V81" s="287"/>
    </row>
    <row r="82" spans="1:22">
      <c r="A82" s="314"/>
      <c r="B82" s="86" t="str">
        <f>IF(L!$A$1=1,L!B203,IF(L!$A$1=2,L!C203,L!D203))</f>
        <v>2020 Dhjetor</v>
      </c>
      <c r="C82" s="87">
        <f t="shared" si="38"/>
        <v>0</v>
      </c>
      <c r="D82" s="87">
        <f t="shared" ref="D82" si="46">+E82+K82+Q82</f>
        <v>0</v>
      </c>
      <c r="E82" s="87"/>
      <c r="F82" s="143"/>
      <c r="G82" s="87"/>
      <c r="H82" s="135"/>
      <c r="I82" s="87"/>
      <c r="J82" s="87"/>
      <c r="K82" s="87">
        <f t="shared" si="44"/>
        <v>0</v>
      </c>
      <c r="L82" s="87"/>
      <c r="M82" s="87"/>
      <c r="N82" s="135"/>
      <c r="O82" s="87"/>
      <c r="P82" s="87"/>
      <c r="Q82" s="87">
        <f t="shared" si="45"/>
        <v>0</v>
      </c>
      <c r="R82" s="87"/>
      <c r="S82" s="87"/>
      <c r="T82" s="87"/>
      <c r="U82" s="87"/>
      <c r="V82" s="87"/>
    </row>
    <row r="83" spans="1:22">
      <c r="A83" s="315"/>
      <c r="B83" s="93" t="str">
        <f>IF(L!$A$1=1,L!B204,IF(L!$A$1=2,L!C204,L!D204))</f>
        <v>Gjithsej 2020</v>
      </c>
      <c r="C83" s="94">
        <f t="shared" si="38"/>
        <v>11728406.5</v>
      </c>
      <c r="D83" s="95">
        <f>SUM(D71:D82)</f>
        <v>11728406.5</v>
      </c>
      <c r="E83" s="95">
        <f t="shared" ref="E83:V83" si="47">SUM(E71:E82)</f>
        <v>4462979.42</v>
      </c>
      <c r="F83" s="95">
        <f t="shared" si="47"/>
        <v>1024685.1400000001</v>
      </c>
      <c r="G83" s="95">
        <f t="shared" si="47"/>
        <v>866509.77</v>
      </c>
      <c r="H83" s="95">
        <f t="shared" si="47"/>
        <v>215985.01</v>
      </c>
      <c r="I83" s="95">
        <f t="shared" si="47"/>
        <v>117081.49</v>
      </c>
      <c r="J83" s="95">
        <f t="shared" si="47"/>
        <v>2238718.0099999998</v>
      </c>
      <c r="K83" s="95">
        <f t="shared" si="47"/>
        <v>5380320.5800000001</v>
      </c>
      <c r="L83" s="95">
        <f t="shared" si="47"/>
        <v>4591665.9399999995</v>
      </c>
      <c r="M83" s="95">
        <f t="shared" si="47"/>
        <v>366948.61</v>
      </c>
      <c r="N83" s="95">
        <f t="shared" si="47"/>
        <v>48921.26</v>
      </c>
      <c r="O83" s="95">
        <f t="shared" si="47"/>
        <v>0</v>
      </c>
      <c r="P83" s="95">
        <f t="shared" si="47"/>
        <v>372784.77</v>
      </c>
      <c r="Q83" s="95">
        <f t="shared" si="47"/>
        <v>1885106.5000000002</v>
      </c>
      <c r="R83" s="95">
        <f t="shared" si="47"/>
        <v>1475056.44</v>
      </c>
      <c r="S83" s="95">
        <f t="shared" si="47"/>
        <v>316940.26999999996</v>
      </c>
      <c r="T83" s="95">
        <f t="shared" si="47"/>
        <v>53955.29</v>
      </c>
      <c r="U83" s="95">
        <f t="shared" si="47"/>
        <v>0</v>
      </c>
      <c r="V83" s="95">
        <f t="shared" si="47"/>
        <v>39154.5</v>
      </c>
    </row>
    <row r="86" spans="1:22">
      <c r="H86" s="97"/>
    </row>
    <row r="91" spans="1:22">
      <c r="E91" s="324"/>
    </row>
  </sheetData>
  <mergeCells count="9">
    <mergeCell ref="A71:A83"/>
    <mergeCell ref="A58:A70"/>
    <mergeCell ref="D1:D2"/>
    <mergeCell ref="B3:B5"/>
    <mergeCell ref="A3:A5"/>
    <mergeCell ref="A45:A57"/>
    <mergeCell ref="A32:A44"/>
    <mergeCell ref="A6:A18"/>
    <mergeCell ref="A19:A31"/>
  </mergeCells>
  <pageMargins left="0.25" right="0.25" top="0.75" bottom="0.75" header="0.3" footer="0.3"/>
  <pageSetup paperSize="9" scale="53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206"/>
  <sheetViews>
    <sheetView view="pageBreakPreview" zoomScale="70" zoomScaleNormal="80" zoomScaleSheetLayoutView="70" workbookViewId="0">
      <pane xSplit="2" ySplit="3" topLeftCell="C49" activePane="bottomRight" state="frozen"/>
      <selection pane="topRight" activeCell="C1" sqref="C1"/>
      <selection pane="bottomLeft" activeCell="A9" sqref="A9"/>
      <selection pane="bottomRight" activeCell="C69" sqref="C69:C74"/>
    </sheetView>
  </sheetViews>
  <sheetFormatPr defaultColWidth="9.140625" defaultRowHeight="15"/>
  <cols>
    <col min="1" max="1" width="7.140625" style="1" customWidth="1"/>
    <col min="2" max="2" width="23.5703125" style="1" customWidth="1"/>
    <col min="3" max="3" width="16.28515625" style="1" customWidth="1"/>
    <col min="4" max="4" width="14" style="2" customWidth="1"/>
    <col min="5" max="5" width="12.42578125" style="2" customWidth="1"/>
    <col min="6" max="6" width="14.85546875" style="2" customWidth="1"/>
    <col min="7" max="7" width="15.28515625" style="1" customWidth="1"/>
    <col min="8" max="8" width="14" style="1" customWidth="1"/>
    <col min="9" max="9" width="15.42578125" style="1" customWidth="1"/>
    <col min="10" max="10" width="12.7109375" style="1" bestFit="1" customWidth="1"/>
    <col min="11" max="11" width="13.7109375" style="1" customWidth="1"/>
    <col min="12" max="12" width="13.85546875" style="1" customWidth="1"/>
    <col min="13" max="13" width="25.28515625" style="14" customWidth="1"/>
    <col min="14" max="14" width="27.7109375" style="1" customWidth="1"/>
    <col min="15" max="16384" width="9.140625" style="1"/>
  </cols>
  <sheetData>
    <row r="1" spans="1:13" s="3" customFormat="1" ht="26.25" customHeight="1">
      <c r="A1" s="12" t="str">
        <f>IF(L!$A$1=1,L!G6,IF(L!$A$1=2,L!G16,L!G26))</f>
        <v>Tabela 2: Pranimet</v>
      </c>
      <c r="B1" s="12"/>
      <c r="D1" s="4"/>
      <c r="E1" s="4"/>
      <c r="F1" s="4"/>
      <c r="M1" s="9"/>
    </row>
    <row r="2" spans="1:13" s="3" customFormat="1" ht="17.25" customHeight="1">
      <c r="A2" s="101" t="s">
        <v>876</v>
      </c>
      <c r="B2" s="102"/>
      <c r="C2" s="9"/>
      <c r="D2" s="9"/>
      <c r="E2" s="10"/>
      <c r="F2" s="10"/>
      <c r="G2" s="9"/>
      <c r="H2" s="9"/>
      <c r="I2" s="9"/>
      <c r="J2" s="9"/>
      <c r="K2" s="9"/>
      <c r="L2" s="9"/>
      <c r="M2" s="9"/>
    </row>
    <row r="3" spans="1:13" s="2" customFormat="1" ht="82.5" customHeight="1">
      <c r="A3" s="103" t="str">
        <f>IF(L!$A$1=1,L!G8,IF(L!$A$1=2,L!G18,L!G28))</f>
        <v>Viti</v>
      </c>
      <c r="B3" s="103" t="str">
        <f>IF(L!$A$1=1,L!H8,IF(L!$A$1=2,L!H18,L!H28))</f>
        <v>Viti / Muaji</v>
      </c>
      <c r="C3" s="104" t="str">
        <f>IF(L!$A$1=1,L!I8,IF(L!$A$1=2,L!I18,L!I28))</f>
        <v>Gjithsej Pranimet</v>
      </c>
      <c r="D3" s="67" t="str">
        <f>IF(L!$A$1=1,L!O8,IF(L!$A$1=2,L!O18,L!O28))</f>
        <v xml:space="preserve">Tatimi në pronë </v>
      </c>
      <c r="E3" s="105" t="s">
        <v>870</v>
      </c>
      <c r="F3" s="106" t="s">
        <v>873</v>
      </c>
      <c r="G3" s="67" t="s">
        <v>871</v>
      </c>
      <c r="H3" s="67" t="s">
        <v>878</v>
      </c>
      <c r="I3" s="67" t="s">
        <v>872</v>
      </c>
      <c r="J3" s="67" t="s">
        <v>874</v>
      </c>
      <c r="K3" s="67" t="s">
        <v>875</v>
      </c>
      <c r="L3" s="67" t="s">
        <v>877</v>
      </c>
      <c r="M3" s="260"/>
    </row>
    <row r="4" spans="1:13">
      <c r="A4" s="322">
        <v>2015</v>
      </c>
      <c r="B4" s="8" t="str">
        <f>IF(L!$A$1=1,L!B127,IF(L!$A$1=2,L!C127,L!D127))</f>
        <v>2015 Janar</v>
      </c>
      <c r="C4" s="169">
        <f>SUM(D4:L4)</f>
        <v>193909.3</v>
      </c>
      <c r="D4" s="145">
        <v>80138.490000000005</v>
      </c>
      <c r="E4" s="145">
        <v>3026.65</v>
      </c>
      <c r="F4" s="170">
        <v>5530</v>
      </c>
      <c r="G4" s="146">
        <f>9400.5-350</f>
        <v>9050.5</v>
      </c>
      <c r="H4" s="147">
        <v>20240</v>
      </c>
      <c r="I4" s="147">
        <v>8887.5</v>
      </c>
      <c r="J4" s="147">
        <v>7551</v>
      </c>
      <c r="K4" s="171">
        <v>32478</v>
      </c>
      <c r="L4" s="148">
        <f>193909.3-D4-E4-F4-G4-H4-I4-J4-K4</f>
        <v>27007.159999999989</v>
      </c>
    </row>
    <row r="5" spans="1:13">
      <c r="A5" s="323"/>
      <c r="B5" s="5" t="str">
        <f>IF(L!$A$1=1,L!B128,IF(L!$A$1=2,L!C128,L!D128))</f>
        <v>2015 Shkurt</v>
      </c>
      <c r="C5" s="172">
        <f t="shared" ref="C5:C42" si="0">SUM(D5:L5)</f>
        <v>152962.70000000001</v>
      </c>
      <c r="D5" s="149">
        <v>64151.74</v>
      </c>
      <c r="E5" s="150">
        <v>769</v>
      </c>
      <c r="F5" s="173">
        <v>9331.44</v>
      </c>
      <c r="G5" s="146">
        <f>5554+1108.5+241+2453+549.5+2819</f>
        <v>12725</v>
      </c>
      <c r="H5" s="147">
        <v>11735</v>
      </c>
      <c r="I5" s="151">
        <v>9476.5</v>
      </c>
      <c r="J5" s="152">
        <v>11238.9</v>
      </c>
      <c r="K5" s="174">
        <v>7510</v>
      </c>
      <c r="L5" s="148">
        <f>152962.7-D5-E5-F5-G5-H5-I5-J5-K5</f>
        <v>26025.120000000017</v>
      </c>
    </row>
    <row r="6" spans="1:13">
      <c r="A6" s="323"/>
      <c r="B6" s="5" t="str">
        <f>IF(L!$A$1=1,L!B129,IF(L!$A$1=2,L!C129,L!D129))</f>
        <v xml:space="preserve">2015 Mars </v>
      </c>
      <c r="C6" s="172">
        <f t="shared" si="0"/>
        <v>240882.19</v>
      </c>
      <c r="D6" s="175">
        <v>110834.76</v>
      </c>
      <c r="E6" s="175">
        <v>28377.69</v>
      </c>
      <c r="F6" s="173">
        <v>1041.48</v>
      </c>
      <c r="G6" s="176">
        <f>15391.5-610</f>
        <v>14781.5</v>
      </c>
      <c r="H6" s="153">
        <v>14265</v>
      </c>
      <c r="I6" s="151">
        <v>12994</v>
      </c>
      <c r="J6" s="177">
        <v>12901.9</v>
      </c>
      <c r="K6" s="174">
        <v>8540</v>
      </c>
      <c r="L6" s="148">
        <f>240882.19-D6-E6-F6-G6-H6-I6-J6-K6</f>
        <v>37145.860000000008</v>
      </c>
    </row>
    <row r="7" spans="1:13">
      <c r="A7" s="323"/>
      <c r="B7" s="5" t="str">
        <f>IF(L!$A$1=1,L!B130,IF(L!$A$1=2,L!C130,L!D130))</f>
        <v>2015 Prill</v>
      </c>
      <c r="C7" s="172">
        <f t="shared" si="0"/>
        <v>266054.55</v>
      </c>
      <c r="D7" s="175">
        <v>117169.74</v>
      </c>
      <c r="E7" s="154">
        <f>32552.4+2106.6</f>
        <v>34659</v>
      </c>
      <c r="F7" s="173">
        <v>15927.5</v>
      </c>
      <c r="G7" s="146">
        <f>6949+1576+469+3165+626+165.5</f>
        <v>12950.5</v>
      </c>
      <c r="H7" s="178">
        <v>12365</v>
      </c>
      <c r="I7" s="151">
        <f>17330+1260+12</f>
        <v>18602</v>
      </c>
      <c r="J7" s="152">
        <v>12233.8</v>
      </c>
      <c r="K7" s="174">
        <v>7280</v>
      </c>
      <c r="L7" s="148">
        <f>266054.55-D7-E7-F7-G7-H7-I7-J7-K7</f>
        <v>34867.009999999995</v>
      </c>
    </row>
    <row r="8" spans="1:13">
      <c r="A8" s="323"/>
      <c r="B8" s="5" t="str">
        <f>IF(L!$A$1=1,L!B131,IF(L!$A$1=2,L!C131,L!D131))</f>
        <v>2015 Maj</v>
      </c>
      <c r="C8" s="172">
        <f t="shared" si="0"/>
        <v>251769.24</v>
      </c>
      <c r="D8" s="154">
        <v>92670.399999999994</v>
      </c>
      <c r="E8" s="154">
        <f>49711.39-2106.6</f>
        <v>47604.79</v>
      </c>
      <c r="F8" s="173">
        <v>20304.599999999999</v>
      </c>
      <c r="G8" s="155">
        <f>11980.5-460</f>
        <v>11520.5</v>
      </c>
      <c r="H8" s="156">
        <v>11134.44</v>
      </c>
      <c r="I8" s="156">
        <v>16579.5</v>
      </c>
      <c r="J8" s="152">
        <v>11155.3</v>
      </c>
      <c r="K8" s="174">
        <v>7800</v>
      </c>
      <c r="L8" s="148">
        <f>251769.24-D8-E8-F8-G8-H8-I8-J8-K8</f>
        <v>32999.709999999977</v>
      </c>
    </row>
    <row r="9" spans="1:13">
      <c r="A9" s="323"/>
      <c r="B9" s="5" t="str">
        <f>IF(L!$A$1=1,L!B132,IF(L!$A$1=2,L!C132,L!D132))</f>
        <v>2015 Qershor</v>
      </c>
      <c r="C9" s="172">
        <f t="shared" si="0"/>
        <v>459041.71</v>
      </c>
      <c r="D9" s="175">
        <v>171916.1</v>
      </c>
      <c r="E9" s="175">
        <f>23233-793</f>
        <v>22440</v>
      </c>
      <c r="F9" s="170">
        <v>2356.3000000000002</v>
      </c>
      <c r="G9" s="176">
        <f>13085.5</f>
        <v>13085.5</v>
      </c>
      <c r="H9" s="157">
        <f>11761+143100</f>
        <v>154861</v>
      </c>
      <c r="I9" s="177">
        <v>15638.5</v>
      </c>
      <c r="J9" s="177">
        <f>7844.7-969.5</f>
        <v>6875.2</v>
      </c>
      <c r="K9" s="174">
        <v>32207</v>
      </c>
      <c r="L9" s="148">
        <f>459041.71-D9-E9-F9-G9-H9-I9-J9-K9</f>
        <v>39662.11</v>
      </c>
    </row>
    <row r="10" spans="1:13">
      <c r="A10" s="323"/>
      <c r="B10" s="5" t="str">
        <f>IF(L!$A$1=1,L!B133,IF(L!$A$1=2,L!C133,L!D133))</f>
        <v>2015 Korrik</v>
      </c>
      <c r="C10" s="172">
        <f t="shared" si="0"/>
        <v>296124.09999999998</v>
      </c>
      <c r="D10" s="175">
        <v>142582.70000000001</v>
      </c>
      <c r="E10" s="175">
        <v>33174.199999999997</v>
      </c>
      <c r="F10" s="173">
        <v>31084</v>
      </c>
      <c r="G10" s="176">
        <f>14017-540</f>
        <v>13477</v>
      </c>
      <c r="H10" s="158">
        <v>16033.5</v>
      </c>
      <c r="I10" s="177">
        <v>18527</v>
      </c>
      <c r="J10" s="177">
        <v>10814</v>
      </c>
      <c r="K10" s="174">
        <v>3705</v>
      </c>
      <c r="L10" s="148">
        <f>296124.1-D10-E10-F10-G10-H10-I10-J10-K10</f>
        <v>26726.699999999968</v>
      </c>
    </row>
    <row r="11" spans="1:13">
      <c r="A11" s="323"/>
      <c r="B11" s="5" t="str">
        <f>IF(L!$A$1=1,L!B134,IF(L!$A$1=2,L!C134,L!D134))</f>
        <v>2015 Gusht</v>
      </c>
      <c r="C11" s="172">
        <f t="shared" si="0"/>
        <v>287806.2</v>
      </c>
      <c r="D11" s="149">
        <v>120816.1</v>
      </c>
      <c r="E11" s="150">
        <f>45500.9+2253</f>
        <v>47753.9</v>
      </c>
      <c r="F11" s="173">
        <v>17926.2</v>
      </c>
      <c r="G11" s="159">
        <f>15848.5-550</f>
        <v>15298.5</v>
      </c>
      <c r="H11" s="179">
        <v>19606</v>
      </c>
      <c r="I11" s="151">
        <v>17843</v>
      </c>
      <c r="J11" s="152">
        <v>10232.5</v>
      </c>
      <c r="K11" s="174">
        <v>5035</v>
      </c>
      <c r="L11" s="148">
        <f>287806.2-D11-E11-F11-G11-H11-I11-J11-K11</f>
        <v>33295.000000000015</v>
      </c>
    </row>
    <row r="12" spans="1:13">
      <c r="A12" s="323"/>
      <c r="B12" s="5" t="str">
        <f>IF(L!$A$1=1,L!B135,IF(L!$A$1=2,L!C135,L!D135))</f>
        <v>2015 Shtator</v>
      </c>
      <c r="C12" s="172">
        <f t="shared" si="0"/>
        <v>236324.72</v>
      </c>
      <c r="D12" s="160">
        <v>70778.06</v>
      </c>
      <c r="E12" s="161">
        <v>17526</v>
      </c>
      <c r="F12" s="173">
        <v>5775</v>
      </c>
      <c r="G12" s="180">
        <f>11236-520</f>
        <v>10716</v>
      </c>
      <c r="H12" s="162">
        <f>13600+54730</f>
        <v>68330</v>
      </c>
      <c r="I12" s="163">
        <v>15945</v>
      </c>
      <c r="J12" s="164">
        <v>10886.9</v>
      </c>
      <c r="K12" s="174">
        <v>8973</v>
      </c>
      <c r="L12" s="148">
        <f>236324.72-D12-E12-F12-G12-H12-I12-J12-K12</f>
        <v>27394.760000000002</v>
      </c>
    </row>
    <row r="13" spans="1:13">
      <c r="A13" s="323"/>
      <c r="B13" s="5" t="str">
        <f>IF(L!$A$1=1,L!B136,IF(L!$A$1=2,L!C136,L!D136))</f>
        <v>2015 Tetor</v>
      </c>
      <c r="C13" s="172">
        <f t="shared" si="0"/>
        <v>276207.13</v>
      </c>
      <c r="D13" s="149">
        <v>66369</v>
      </c>
      <c r="E13" s="150">
        <v>90804</v>
      </c>
      <c r="F13" s="173">
        <v>3087.5</v>
      </c>
      <c r="G13" s="181">
        <f>20807.5-G14</f>
        <v>9541.5</v>
      </c>
      <c r="H13" s="147">
        <v>13821</v>
      </c>
      <c r="I13" s="152">
        <v>14330</v>
      </c>
      <c r="J13" s="152">
        <v>10943.9</v>
      </c>
      <c r="K13" s="174">
        <v>9685</v>
      </c>
      <c r="L13" s="148">
        <f>276207.13-D13-E13-F13-G13-H13-I13-J13-K13</f>
        <v>57625.23000000001</v>
      </c>
    </row>
    <row r="14" spans="1:13">
      <c r="A14" s="323"/>
      <c r="B14" s="5" t="str">
        <f>IF(L!$A$1=1,L!B137,IF(L!$A$1=2,L!C137,L!D137))</f>
        <v xml:space="preserve">2015 Nëntor </v>
      </c>
      <c r="C14" s="172">
        <f t="shared" si="0"/>
        <v>232561.58</v>
      </c>
      <c r="D14" s="149">
        <v>81432.149999999994</v>
      </c>
      <c r="E14" s="150">
        <v>49209</v>
      </c>
      <c r="F14" s="173">
        <v>7861</v>
      </c>
      <c r="G14" s="159">
        <f>11785.8-365-154.8</f>
        <v>11266</v>
      </c>
      <c r="H14" s="182">
        <v>11190</v>
      </c>
      <c r="I14" s="151">
        <v>12555.5</v>
      </c>
      <c r="J14" s="152">
        <v>10162.9</v>
      </c>
      <c r="K14" s="174">
        <v>9115</v>
      </c>
      <c r="L14" s="148">
        <f>232561.58-D14-E14-F14-G14-H14-I14-J14-K14</f>
        <v>39770.029999999992</v>
      </c>
    </row>
    <row r="15" spans="1:13">
      <c r="A15" s="323"/>
      <c r="B15" s="5" t="str">
        <f>IF(L!$A$1=1,L!B138,IF(L!$A$1=2,L!C138,L!D138))</f>
        <v>2015 Dhjetor</v>
      </c>
      <c r="C15" s="172">
        <f t="shared" si="0"/>
        <v>443875.31000000006</v>
      </c>
      <c r="D15" s="149">
        <v>255517.62</v>
      </c>
      <c r="E15" s="150">
        <v>19390</v>
      </c>
      <c r="F15" s="173">
        <v>14453</v>
      </c>
      <c r="G15" s="159">
        <f>17365.5+6+36-2410</f>
        <v>14997.5</v>
      </c>
      <c r="H15" s="147">
        <f>6373+61857.52</f>
        <v>68230.51999999999</v>
      </c>
      <c r="I15" s="151">
        <v>15429</v>
      </c>
      <c r="J15" s="152">
        <v>15029.7</v>
      </c>
      <c r="K15" s="174">
        <v>11840</v>
      </c>
      <c r="L15" s="148">
        <f>443875.31-D15-E15-F15-G15-H15-I15-J15-K15</f>
        <v>28987.970000000016</v>
      </c>
    </row>
    <row r="16" spans="1:13">
      <c r="A16" s="323"/>
      <c r="B16" s="115" t="str">
        <f>IF(L!$A$1=1,L!B139,IF(L!$A$1=2,L!C139,L!D139))</f>
        <v>Gjithsej 2015</v>
      </c>
      <c r="C16" s="183">
        <f t="shared" si="0"/>
        <v>3337518.7299999995</v>
      </c>
      <c r="D16" s="184">
        <f>SUM(D4:D15)</f>
        <v>1374376.8599999999</v>
      </c>
      <c r="E16" s="184">
        <f>SUM(E4:E15)</f>
        <v>394734.23</v>
      </c>
      <c r="F16" s="184">
        <f t="shared" ref="F16:H16" si="1">SUM(F4:F15)</f>
        <v>134678.02000000002</v>
      </c>
      <c r="G16" s="184">
        <f t="shared" si="1"/>
        <v>149410</v>
      </c>
      <c r="H16" s="184">
        <f t="shared" si="1"/>
        <v>421811.45999999996</v>
      </c>
      <c r="I16" s="184">
        <f>SUM(I4:I15)</f>
        <v>176807.5</v>
      </c>
      <c r="J16" s="184">
        <f>SUM(J4:J15)</f>
        <v>130025.99999999999</v>
      </c>
      <c r="K16" s="184">
        <f>SUM(K4:K15)</f>
        <v>144168</v>
      </c>
      <c r="L16" s="185">
        <f>SUM(L4:L15)</f>
        <v>411506.65999999992</v>
      </c>
    </row>
    <row r="17" spans="1:13">
      <c r="A17" s="321">
        <v>2016</v>
      </c>
      <c r="B17" s="5" t="str">
        <f>IF(L!$A$1=1,L!B140,IF(L!$A$1=2,L!C140,L!D140))</f>
        <v>2016 Janar</v>
      </c>
      <c r="C17" s="186">
        <f t="shared" si="0"/>
        <v>174064.77000000002</v>
      </c>
      <c r="D17" s="187">
        <v>87609.11</v>
      </c>
      <c r="E17" s="187">
        <v>6478.6</v>
      </c>
      <c r="F17" s="188">
        <v>386</v>
      </c>
      <c r="G17" s="187">
        <f>7191-G18-15</f>
        <v>4379.5</v>
      </c>
      <c r="H17" s="165">
        <v>8745</v>
      </c>
      <c r="I17" s="187">
        <v>6484</v>
      </c>
      <c r="J17" s="187">
        <v>4925.5</v>
      </c>
      <c r="K17" s="186">
        <v>27466</v>
      </c>
      <c r="L17" s="189">
        <f>174064.77-D17-E17-F17-G17-H17-I17-J17-K17</f>
        <v>27591.059999999983</v>
      </c>
    </row>
    <row r="18" spans="1:13">
      <c r="A18" s="321"/>
      <c r="B18" s="5" t="str">
        <f>IF(L!$A$1=1,L!B141,IF(L!$A$1=2,L!C141,L!D141))</f>
        <v>2016 Shkurt</v>
      </c>
      <c r="C18" s="186">
        <f t="shared" si="0"/>
        <v>202319.18</v>
      </c>
      <c r="D18" s="187">
        <f>69508.9-5097.94</f>
        <v>64410.959999999992</v>
      </c>
      <c r="E18" s="187">
        <v>40372</v>
      </c>
      <c r="F18" s="190">
        <v>1300</v>
      </c>
      <c r="G18" s="187">
        <f>12678-G19-840</f>
        <v>2796.5</v>
      </c>
      <c r="H18" s="191">
        <v>9945</v>
      </c>
      <c r="I18" s="187">
        <f>14124.5-60</f>
        <v>14064.5</v>
      </c>
      <c r="J18" s="192">
        <v>13991.4</v>
      </c>
      <c r="K18" s="186">
        <v>8745</v>
      </c>
      <c r="L18" s="187">
        <f>202319.18-D18-E18-F18-G18-H18-I18-J18-K18</f>
        <v>46693.82</v>
      </c>
    </row>
    <row r="19" spans="1:13">
      <c r="A19" s="321"/>
      <c r="B19" s="5" t="str">
        <f>IF(L!$A$1=1,L!B142,IF(L!$A$1=2,L!C142,L!D142))</f>
        <v xml:space="preserve">2016 Mars </v>
      </c>
      <c r="C19" s="186">
        <f t="shared" si="0"/>
        <v>302842.98</v>
      </c>
      <c r="D19" s="187">
        <v>106017.04</v>
      </c>
      <c r="E19" s="187">
        <v>6847</v>
      </c>
      <c r="F19" s="190">
        <v>4320.3999999999996</v>
      </c>
      <c r="G19" s="187">
        <f>100+1116+120+1794.5+4654+272+820.5+111+47.5+6</f>
        <v>9041.5</v>
      </c>
      <c r="H19" s="166">
        <f>11945+72289</f>
        <v>84234</v>
      </c>
      <c r="I19" s="187">
        <f>1200+13288+10</f>
        <v>14498</v>
      </c>
      <c r="J19" s="192">
        <f>14419.3+218.5+11</f>
        <v>14648.8</v>
      </c>
      <c r="K19" s="186">
        <v>8230</v>
      </c>
      <c r="L19" s="187">
        <f>302842.98-E19-F19-G19-H19-I19-J19-K19-D19</f>
        <v>55006.239999999976</v>
      </c>
    </row>
    <row r="20" spans="1:13">
      <c r="A20" s="321"/>
      <c r="B20" s="5" t="str">
        <f>IF(L!$A$1=1,L!B143,IF(L!$A$1=2,L!C143,L!D143))</f>
        <v>2016 Prill</v>
      </c>
      <c r="C20" s="186">
        <f t="shared" si="0"/>
        <v>272637.68</v>
      </c>
      <c r="D20" s="187">
        <v>113030.9</v>
      </c>
      <c r="E20" s="187">
        <v>42627</v>
      </c>
      <c r="F20" s="190">
        <v>744</v>
      </c>
      <c r="G20" s="187">
        <f>100+1116+120+1794.5+4654+272+820.5+111+47.5+6</f>
        <v>9041.5</v>
      </c>
      <c r="H20" s="187">
        <v>12150</v>
      </c>
      <c r="I20" s="187">
        <v>16697.5</v>
      </c>
      <c r="J20" s="192">
        <v>11247.4</v>
      </c>
      <c r="K20" s="186">
        <v>10166</v>
      </c>
      <c r="L20" s="187">
        <f>272637.68-D20-E20-F20-G20-H20-I20-J20-K20</f>
        <v>56933.380000000005</v>
      </c>
    </row>
    <row r="21" spans="1:13">
      <c r="A21" s="321"/>
      <c r="B21" s="5" t="str">
        <f>IF(L!$A$1=1,L!B144,IF(L!$A$1=2,L!C144,L!D144))</f>
        <v>2016 Maj</v>
      </c>
      <c r="C21" s="186">
        <f t="shared" si="0"/>
        <v>237350.8</v>
      </c>
      <c r="D21" s="187">
        <v>113885.35</v>
      </c>
      <c r="E21" s="187">
        <v>9774</v>
      </c>
      <c r="F21" s="190">
        <v>12915.6</v>
      </c>
      <c r="G21" s="187">
        <f>11999</f>
        <v>11999</v>
      </c>
      <c r="H21" s="187">
        <v>12365</v>
      </c>
      <c r="I21" s="187">
        <v>16284</v>
      </c>
      <c r="J21" s="192">
        <v>10924.1</v>
      </c>
      <c r="K21" s="186">
        <v>15067</v>
      </c>
      <c r="L21" s="187">
        <f>237350.8-D21-E21-F21-G21-H21-I21-J21-K21</f>
        <v>34136.749999999978</v>
      </c>
    </row>
    <row r="22" spans="1:13">
      <c r="A22" s="321"/>
      <c r="B22" s="5" t="str">
        <f>IF(L!$A$1=1,L!B145,IF(L!$A$1=2,L!C145,L!D145))</f>
        <v>2016 Qershor</v>
      </c>
      <c r="C22" s="186">
        <f t="shared" si="0"/>
        <v>461492.53</v>
      </c>
      <c r="D22" s="187">
        <v>261236.57</v>
      </c>
      <c r="E22" s="187">
        <v>17420</v>
      </c>
      <c r="F22" s="190">
        <v>2517.88</v>
      </c>
      <c r="G22" s="187">
        <f>13128-520</f>
        <v>12608</v>
      </c>
      <c r="H22" s="187">
        <f>9590+63975</f>
        <v>73565</v>
      </c>
      <c r="I22" s="187">
        <v>18140</v>
      </c>
      <c r="J22" s="192">
        <v>8867.2000000000007</v>
      </c>
      <c r="K22" s="193">
        <v>20372</v>
      </c>
      <c r="L22" s="187">
        <f>461492.53-D22-E22-F22-G22-H22-I22-J22-K22</f>
        <v>46765.880000000019</v>
      </c>
    </row>
    <row r="23" spans="1:13">
      <c r="A23" s="321"/>
      <c r="B23" s="5" t="str">
        <f>IF(L!$A$1=1,L!B146,IF(L!$A$1=2,L!C146,L!D146))</f>
        <v>2016 Korrik</v>
      </c>
      <c r="C23" s="186">
        <f t="shared" si="0"/>
        <v>266190.81</v>
      </c>
      <c r="D23" s="187">
        <v>134806.46</v>
      </c>
      <c r="E23" s="187">
        <v>24616.799999999999</v>
      </c>
      <c r="F23" s="190">
        <v>10833.4</v>
      </c>
      <c r="G23" s="187">
        <f>18812-485</f>
        <v>18327</v>
      </c>
      <c r="H23" s="187">
        <v>15911</v>
      </c>
      <c r="I23" s="187">
        <v>18846.5</v>
      </c>
      <c r="J23" s="192">
        <v>10282.700000000001</v>
      </c>
      <c r="K23" s="186">
        <v>2389</v>
      </c>
      <c r="L23" s="187">
        <f>266190.81-D23-E23-F23-G23-H23-I23-J23-K23</f>
        <v>30177.950000000008</v>
      </c>
    </row>
    <row r="24" spans="1:13">
      <c r="A24" s="321"/>
      <c r="B24" s="5" t="str">
        <f>IF(L!$A$1=1,L!B147,IF(L!$A$1=2,L!C147,L!D147))</f>
        <v>2016 Gusht</v>
      </c>
      <c r="C24" s="186">
        <f t="shared" si="0"/>
        <v>418553.47</v>
      </c>
      <c r="D24" s="187">
        <v>267400.02</v>
      </c>
      <c r="E24" s="187">
        <v>25951.8</v>
      </c>
      <c r="F24" s="190">
        <v>8774.4</v>
      </c>
      <c r="G24" s="187">
        <f>20518.5-590</f>
        <v>19928.5</v>
      </c>
      <c r="H24" s="167">
        <v>18707</v>
      </c>
      <c r="I24" s="187">
        <v>20964.5</v>
      </c>
      <c r="J24" s="192">
        <v>10606.2</v>
      </c>
      <c r="K24" s="186">
        <v>3025</v>
      </c>
      <c r="L24" s="187">
        <f>418553.47-D24-E24-F24-G24-H24-I24-J24-K24</f>
        <v>43196.049999999959</v>
      </c>
    </row>
    <row r="25" spans="1:13">
      <c r="A25" s="321"/>
      <c r="B25" s="5" t="str">
        <f>IF(L!$A$1=1,L!B148,IF(L!$A$1=2,L!C148,L!D148))</f>
        <v>2016 Shtator</v>
      </c>
      <c r="C25" s="186">
        <f t="shared" si="0"/>
        <v>388113.07</v>
      </c>
      <c r="D25" s="187">
        <v>129402.91</v>
      </c>
      <c r="E25" s="187">
        <v>66896.600000000006</v>
      </c>
      <c r="F25" s="190">
        <v>15452</v>
      </c>
      <c r="G25" s="187">
        <f>12558.5-375</f>
        <v>12183.5</v>
      </c>
      <c r="H25" s="187">
        <f>8642.5+73331.5</f>
        <v>81974</v>
      </c>
      <c r="I25" s="187">
        <v>16913</v>
      </c>
      <c r="J25" s="192">
        <v>10288.700000000001</v>
      </c>
      <c r="K25" s="186">
        <v>7742</v>
      </c>
      <c r="L25" s="187">
        <f>388113.07-D25-E25-F25-G25-H25-I25-J25-K25</f>
        <v>47260.36</v>
      </c>
    </row>
    <row r="26" spans="1:13">
      <c r="A26" s="321"/>
      <c r="B26" s="5" t="str">
        <f>IF(L!$A$1=1,L!B149,IF(L!$A$1=2,L!C149,L!D149))</f>
        <v>2016 Tetor</v>
      </c>
      <c r="C26" s="186">
        <f t="shared" si="0"/>
        <v>163368.18</v>
      </c>
      <c r="D26" s="187">
        <v>56748.14</v>
      </c>
      <c r="E26" s="187">
        <v>17641.5</v>
      </c>
      <c r="F26" s="190">
        <v>1824</v>
      </c>
      <c r="G26" s="187">
        <f>14527-420</f>
        <v>14107</v>
      </c>
      <c r="H26" s="187">
        <v>13573.5</v>
      </c>
      <c r="I26" s="187">
        <v>17255.5</v>
      </c>
      <c r="J26" s="192">
        <v>10546.4</v>
      </c>
      <c r="K26" s="193">
        <v>6863</v>
      </c>
      <c r="L26" s="187">
        <f>163368.18-D26-E26-F26-G26-H26-I26-J26-K26</f>
        <v>24809.139999999992</v>
      </c>
    </row>
    <row r="27" spans="1:13">
      <c r="A27" s="321"/>
      <c r="B27" s="5" t="str">
        <f>IF(L!$A$1=1,L!B150,IF(L!$A$1=2,L!C150,L!D150))</f>
        <v xml:space="preserve">2016 Nëntor </v>
      </c>
      <c r="C27" s="186">
        <f t="shared" si="0"/>
        <v>195884.80999999997</v>
      </c>
      <c r="D27" s="187">
        <v>57141.39</v>
      </c>
      <c r="E27" s="187">
        <v>16179.27</v>
      </c>
      <c r="F27" s="190">
        <v>1539</v>
      </c>
      <c r="G27" s="187">
        <f>13588.5-375</f>
        <v>13213.5</v>
      </c>
      <c r="H27" s="187">
        <v>16279.5</v>
      </c>
      <c r="I27" s="187">
        <v>13578</v>
      </c>
      <c r="J27" s="192">
        <v>13073.2</v>
      </c>
      <c r="K27" s="193">
        <v>7776</v>
      </c>
      <c r="L27" s="187">
        <f>195884.81-D27-E27-F27-G27-H27-I27-J27-K27</f>
        <v>57104.949999999983</v>
      </c>
    </row>
    <row r="28" spans="1:13">
      <c r="A28" s="321"/>
      <c r="B28" s="5" t="str">
        <f>IF(L!$A$1=1,L!B151,IF(L!$A$1=2,L!C151,L!D151))</f>
        <v>2016 Dhjetor</v>
      </c>
      <c r="C28" s="186">
        <f t="shared" si="0"/>
        <v>388090.77</v>
      </c>
      <c r="D28" s="187">
        <v>170822.38</v>
      </c>
      <c r="E28" s="187">
        <v>11524</v>
      </c>
      <c r="F28" s="190">
        <v>2233.6800000000003</v>
      </c>
      <c r="G28" s="187">
        <f>21508.5-400-30+51</f>
        <v>21129.5</v>
      </c>
      <c r="H28" s="187">
        <f>12255+94352.5</f>
        <v>106607.5</v>
      </c>
      <c r="I28" s="187">
        <v>14728</v>
      </c>
      <c r="J28" s="192">
        <v>15696.1</v>
      </c>
      <c r="K28" s="193">
        <v>10203</v>
      </c>
      <c r="L28" s="187">
        <f>388090.77-D28-E28-F28-G28-H28-I28-J28-K28</f>
        <v>35146.610000000022</v>
      </c>
    </row>
    <row r="29" spans="1:13">
      <c r="A29" s="321"/>
      <c r="B29" s="6" t="str">
        <f>IF(L!$A$1=1,L!B152,IF(L!$A$1=2,L!C152,L!D152))</f>
        <v>Gjithsej 2016</v>
      </c>
      <c r="C29" s="194">
        <f t="shared" si="0"/>
        <v>3470909.05</v>
      </c>
      <c r="D29" s="195">
        <f t="shared" ref="D29:L29" si="2">SUM(D17:D28)</f>
        <v>1562511.2299999995</v>
      </c>
      <c r="E29" s="195">
        <f t="shared" si="2"/>
        <v>286328.57</v>
      </c>
      <c r="F29" s="195">
        <f t="shared" si="2"/>
        <v>62840.36</v>
      </c>
      <c r="G29" s="195">
        <f t="shared" si="2"/>
        <v>148755</v>
      </c>
      <c r="H29" s="195">
        <f t="shared" si="2"/>
        <v>454056.5</v>
      </c>
      <c r="I29" s="195">
        <f t="shared" si="2"/>
        <v>188453.5</v>
      </c>
      <c r="J29" s="195">
        <f t="shared" si="2"/>
        <v>135097.69999999998</v>
      </c>
      <c r="K29" s="195">
        <f t="shared" si="2"/>
        <v>128044</v>
      </c>
      <c r="L29" s="195">
        <f t="shared" si="2"/>
        <v>504822.18999999989</v>
      </c>
    </row>
    <row r="30" spans="1:13" s="3" customFormat="1">
      <c r="A30" s="321">
        <v>2017</v>
      </c>
      <c r="B30" s="5" t="str">
        <f>IF(L!$A$1=1,L!B153,IF(L!$A$1=2,L!C153,L!D153))</f>
        <v>2017 Janar</v>
      </c>
      <c r="C30" s="190">
        <f>SUM(D30:L30)</f>
        <v>159765.66</v>
      </c>
      <c r="D30" s="196">
        <v>53694.34</v>
      </c>
      <c r="E30" s="187">
        <v>2659</v>
      </c>
      <c r="F30" s="190">
        <v>24285.4</v>
      </c>
      <c r="G30" s="197">
        <f>7312-160</f>
        <v>7152</v>
      </c>
      <c r="H30" s="198">
        <v>12177.5</v>
      </c>
      <c r="I30" s="197">
        <v>8440</v>
      </c>
      <c r="J30" s="199">
        <v>4200</v>
      </c>
      <c r="K30" s="200">
        <v>28331</v>
      </c>
      <c r="L30" s="190">
        <f>159765.66-D30-E30-F30-G30-I30-J30-K30-H30</f>
        <v>18826.420000000013</v>
      </c>
      <c r="M30" s="9"/>
    </row>
    <row r="31" spans="1:13" s="3" customFormat="1">
      <c r="A31" s="321"/>
      <c r="B31" s="5" t="str">
        <f>IF(L!$A$1=1,L!B154,IF(L!$A$1=2,L!C154,L!D154))</f>
        <v>2017 Shkurt</v>
      </c>
      <c r="C31" s="190">
        <f>SUM(D31:L31)</f>
        <v>182000.99999999997</v>
      </c>
      <c r="D31" s="196">
        <v>82711.62</v>
      </c>
      <c r="E31" s="187">
        <v>7851.8</v>
      </c>
      <c r="F31" s="190">
        <v>1440</v>
      </c>
      <c r="G31" s="197">
        <f>14065.5-415</f>
        <v>13650.5</v>
      </c>
      <c r="H31" s="198">
        <v>18607.5</v>
      </c>
      <c r="I31" s="197">
        <v>11719</v>
      </c>
      <c r="J31" s="201">
        <v>9533.4</v>
      </c>
      <c r="K31" s="200">
        <v>6607</v>
      </c>
      <c r="L31" s="190">
        <f>182001-D31-E31-F31-G31-I31-J31-K31-H31</f>
        <v>29880.18</v>
      </c>
      <c r="M31" s="9"/>
    </row>
    <row r="32" spans="1:13" s="3" customFormat="1">
      <c r="A32" s="321"/>
      <c r="B32" s="5" t="str">
        <f>IF(L!$A$1=1,L!B155,IF(L!$A$1=2,L!C155,L!D155))</f>
        <v xml:space="preserve">2017 Mars </v>
      </c>
      <c r="C32" s="202">
        <f t="shared" si="0"/>
        <v>389436.00000000006</v>
      </c>
      <c r="D32" s="196">
        <v>146023.26999999999</v>
      </c>
      <c r="E32" s="187">
        <v>33564</v>
      </c>
      <c r="F32" s="190">
        <v>4515.5</v>
      </c>
      <c r="G32" s="197">
        <f>19471.5-485</f>
        <v>18986.5</v>
      </c>
      <c r="H32" s="197">
        <v>113386</v>
      </c>
      <c r="I32" s="197">
        <v>17879</v>
      </c>
      <c r="J32" s="201">
        <v>11414.9</v>
      </c>
      <c r="K32" s="168">
        <v>6982</v>
      </c>
      <c r="L32" s="190">
        <f>389436-D32-E32-F32-G32-I32-J32-K32-H32</f>
        <v>36684.830000000016</v>
      </c>
      <c r="M32" s="9"/>
    </row>
    <row r="33" spans="1:16" s="3" customFormat="1">
      <c r="A33" s="321"/>
      <c r="B33" s="5" t="str">
        <f>IF(L!$A$1=1,L!B156,IF(L!$A$1=2,L!C156,L!D156))</f>
        <v>2017 Prill</v>
      </c>
      <c r="C33" s="190">
        <f t="shared" ref="C33:C39" si="3">SUM(D33:L33)</f>
        <v>239884</v>
      </c>
      <c r="D33" s="196">
        <v>88499.83</v>
      </c>
      <c r="E33" s="187">
        <v>48639.56</v>
      </c>
      <c r="F33" s="190">
        <v>7494</v>
      </c>
      <c r="G33" s="197">
        <f>15638.5-330</f>
        <v>15308.5</v>
      </c>
      <c r="H33" s="197">
        <v>20867.5</v>
      </c>
      <c r="I33" s="197">
        <v>14904</v>
      </c>
      <c r="J33" s="201">
        <v>7203.2</v>
      </c>
      <c r="K33" s="168">
        <v>5943</v>
      </c>
      <c r="L33" s="190">
        <f>239884-D33-E33-F33-G33-I33-J33-K33-H33</f>
        <v>31024.409999999989</v>
      </c>
      <c r="M33" s="9"/>
    </row>
    <row r="34" spans="1:16" s="3" customFormat="1">
      <c r="A34" s="321"/>
      <c r="B34" s="5" t="str">
        <f>IF(L!$A$1=1,L!B157,IF(L!$A$1=2,L!C157,L!D157))</f>
        <v>2017 Maj</v>
      </c>
      <c r="C34" s="190">
        <f t="shared" si="3"/>
        <v>268759</v>
      </c>
      <c r="D34" s="196">
        <v>99068.72</v>
      </c>
      <c r="E34" s="187">
        <v>37339.94</v>
      </c>
      <c r="F34" s="190">
        <v>19562</v>
      </c>
      <c r="G34" s="197">
        <f>15223-464</f>
        <v>14759</v>
      </c>
      <c r="H34" s="198">
        <v>24125</v>
      </c>
      <c r="I34" s="197">
        <v>16861.5</v>
      </c>
      <c r="J34" s="201">
        <v>9057.6</v>
      </c>
      <c r="K34" s="200">
        <v>14411</v>
      </c>
      <c r="L34" s="190">
        <f>268759-D34-E34-F34-G34-I34-J34-K34-H34</f>
        <v>33574.239999999991</v>
      </c>
      <c r="M34" s="9"/>
    </row>
    <row r="35" spans="1:16" s="3" customFormat="1">
      <c r="A35" s="321"/>
      <c r="B35" s="5" t="str">
        <f>IF(L!$A$1=1,L!B158,IF(L!$A$1=2,L!C158,L!D158))</f>
        <v>2017 Qershor</v>
      </c>
      <c r="C35" s="190">
        <f t="shared" si="3"/>
        <v>395477.02999999997</v>
      </c>
      <c r="D35" s="196">
        <v>182109.98</v>
      </c>
      <c r="E35" s="187">
        <v>11739.01</v>
      </c>
      <c r="F35" s="190">
        <v>2759</v>
      </c>
      <c r="G35" s="197">
        <f>17116-465</f>
        <v>16651</v>
      </c>
      <c r="H35" s="197">
        <v>104826</v>
      </c>
      <c r="I35" s="197">
        <v>19834</v>
      </c>
      <c r="J35" s="201">
        <v>6953.6</v>
      </c>
      <c r="K35" s="200">
        <v>25098</v>
      </c>
      <c r="L35" s="190">
        <f>395477.03-D35-E35-F35-G35-I35-J35-K35-H35</f>
        <v>25506.440000000002</v>
      </c>
      <c r="M35" s="9"/>
    </row>
    <row r="36" spans="1:16" s="3" customFormat="1">
      <c r="A36" s="321"/>
      <c r="B36" s="5" t="str">
        <f>IF(L!$A$1=1,L!B159,IF(L!$A$1=2,L!C159,L!D159))</f>
        <v>2017 Korrik</v>
      </c>
      <c r="C36" s="190">
        <f t="shared" si="3"/>
        <v>287896.01</v>
      </c>
      <c r="D36" s="196">
        <v>141447.01999999999</v>
      </c>
      <c r="E36" s="187">
        <v>23906.19</v>
      </c>
      <c r="F36" s="190">
        <v>30934</v>
      </c>
      <c r="G36" s="197">
        <f>14247.5</f>
        <v>14247.5</v>
      </c>
      <c r="H36" s="197">
        <v>22240</v>
      </c>
      <c r="I36" s="197">
        <v>19017</v>
      </c>
      <c r="J36" s="201">
        <v>8808.7999999999993</v>
      </c>
      <c r="K36" s="200">
        <v>2104</v>
      </c>
      <c r="L36" s="190">
        <f>287896.01-D36-E36-F36-G36-I36-J36-K36-H36</f>
        <v>25191.500000000015</v>
      </c>
      <c r="M36" s="9"/>
    </row>
    <row r="37" spans="1:16" s="3" customFormat="1">
      <c r="A37" s="321"/>
      <c r="B37" s="5" t="str">
        <f>IF(L!$A$1=1,L!B160,IF(L!$A$1=2,L!C160,L!D160))</f>
        <v>2017 Gusht</v>
      </c>
      <c r="C37" s="190">
        <f t="shared" si="3"/>
        <v>411732.69999999995</v>
      </c>
      <c r="D37" s="196">
        <v>218819.49</v>
      </c>
      <c r="E37" s="187">
        <v>21152.97</v>
      </c>
      <c r="F37" s="190">
        <v>37819.5</v>
      </c>
      <c r="G37" s="197">
        <f>22213.5-756</f>
        <v>21457.5</v>
      </c>
      <c r="H37" s="197">
        <v>42911.5</v>
      </c>
      <c r="I37" s="197">
        <v>21585</v>
      </c>
      <c r="J37" s="201">
        <v>10612</v>
      </c>
      <c r="K37" s="200">
        <v>1612</v>
      </c>
      <c r="L37" s="190">
        <f>411732.7-D37-E37-F37-G37-I37-J37-K37-H37</f>
        <v>35762.74000000002</v>
      </c>
      <c r="M37" s="9"/>
    </row>
    <row r="38" spans="1:16" s="3" customFormat="1">
      <c r="A38" s="321"/>
      <c r="B38" s="5" t="str">
        <f>IF(L!$A$1=1,L!B161,IF(L!$A$1=2,L!C161,L!D161))</f>
        <v>2017 Shtator</v>
      </c>
      <c r="C38" s="190">
        <f t="shared" si="3"/>
        <v>354245</v>
      </c>
      <c r="D38" s="196">
        <v>87232.27</v>
      </c>
      <c r="E38" s="187">
        <v>79186.03</v>
      </c>
      <c r="F38" s="190">
        <v>9086.2000000000007</v>
      </c>
      <c r="G38" s="197">
        <f>17172.5-440</f>
        <v>16732.5</v>
      </c>
      <c r="H38" s="197">
        <v>94296</v>
      </c>
      <c r="I38" s="197">
        <v>14882.5</v>
      </c>
      <c r="J38" s="201">
        <v>8148.5</v>
      </c>
      <c r="K38" s="168">
        <v>9940.39</v>
      </c>
      <c r="L38" s="190">
        <f>276520-D38-E38-F38-G38-I38-J38-K38-H38+77725</f>
        <v>34740.609999999986</v>
      </c>
      <c r="M38" s="9"/>
    </row>
    <row r="39" spans="1:16" s="3" customFormat="1">
      <c r="A39" s="321"/>
      <c r="B39" s="5" t="str">
        <f>IF(L!$A$1=1,L!B162,IF(L!$A$1=2,L!C162,L!D162))</f>
        <v>2017 Tetor</v>
      </c>
      <c r="C39" s="190">
        <f t="shared" si="3"/>
        <v>302637.14999999997</v>
      </c>
      <c r="D39" s="196">
        <v>51185.62</v>
      </c>
      <c r="E39" s="187">
        <v>112360.75</v>
      </c>
      <c r="F39" s="190">
        <v>29807.829999999998</v>
      </c>
      <c r="G39" s="197">
        <f>19326.4-688.5</f>
        <v>18637.900000000001</v>
      </c>
      <c r="H39" s="197">
        <v>18388.5</v>
      </c>
      <c r="I39" s="197">
        <v>19763.5</v>
      </c>
      <c r="J39" s="201">
        <v>9095.2999999999993</v>
      </c>
      <c r="K39" s="200">
        <v>7282</v>
      </c>
      <c r="L39" s="190">
        <f>284248.65-D39-E39-F39-G39-I39-J39-K39</f>
        <v>36115.750000000015</v>
      </c>
      <c r="M39" s="9"/>
    </row>
    <row r="40" spans="1:16" s="3" customFormat="1" ht="15.75" thickBot="1">
      <c r="A40" s="321"/>
      <c r="B40" s="5" t="str">
        <f>IF(L!$A$1=1,L!B163,IF(L!$A$1=2,L!C163,L!D163))</f>
        <v xml:space="preserve">2017 Nëntor </v>
      </c>
      <c r="C40" s="186">
        <f t="shared" si="0"/>
        <v>219482.89</v>
      </c>
      <c r="D40" s="186">
        <v>63037.9</v>
      </c>
      <c r="E40" s="186">
        <v>79818.880000000005</v>
      </c>
      <c r="F40" s="186">
        <f>1499.5+170</f>
        <v>1669.5</v>
      </c>
      <c r="G40" s="186">
        <v>13723.5</v>
      </c>
      <c r="H40" s="186">
        <v>14692.5</v>
      </c>
      <c r="I40" s="186">
        <f>13614+2150.5</f>
        <v>15764.5</v>
      </c>
      <c r="J40" s="186">
        <v>9461.5</v>
      </c>
      <c r="K40" s="186">
        <f>7063+40</f>
        <v>7103</v>
      </c>
      <c r="L40" s="186">
        <v>14211.61</v>
      </c>
      <c r="M40" s="9"/>
    </row>
    <row r="41" spans="1:16" s="3" customFormat="1" ht="15.75" thickBot="1">
      <c r="A41" s="321"/>
      <c r="B41" s="5" t="str">
        <f>IF(L!$A$1=1,L!B164,IF(L!$A$1=2,L!C164,L!D164))</f>
        <v>2017 Dhjetor</v>
      </c>
      <c r="C41" s="186">
        <f t="shared" si="0"/>
        <v>360487.65</v>
      </c>
      <c r="D41" s="220">
        <v>207270.45</v>
      </c>
      <c r="E41" s="221">
        <v>10009.74</v>
      </c>
      <c r="F41" s="186">
        <v>1796</v>
      </c>
      <c r="G41" s="186">
        <v>16445</v>
      </c>
      <c r="H41" s="186">
        <v>47757</v>
      </c>
      <c r="I41" s="186">
        <v>19650</v>
      </c>
      <c r="J41" s="222">
        <v>15211.8</v>
      </c>
      <c r="K41" s="186">
        <v>6794</v>
      </c>
      <c r="L41" s="186">
        <v>35553.660000000003</v>
      </c>
      <c r="M41" s="9"/>
    </row>
    <row r="42" spans="1:16" s="3" customFormat="1">
      <c r="A42" s="321"/>
      <c r="B42" s="6" t="str">
        <f>IF(L!$A$1=1,L!B165,IF(L!$A$1=2,L!C165,L!D165))</f>
        <v>Gjithsej 2017</v>
      </c>
      <c r="C42" s="194">
        <f t="shared" si="0"/>
        <v>3571804.0900000003</v>
      </c>
      <c r="D42" s="195">
        <f>SUM(D30:D41)</f>
        <v>1421100.51</v>
      </c>
      <c r="E42" s="195">
        <f>SUM(E30:E41)</f>
        <v>468227.87</v>
      </c>
      <c r="F42" s="195">
        <f>SUM(F30:F41)</f>
        <v>171168.93</v>
      </c>
      <c r="G42" s="195">
        <f t="shared" ref="G42:K42" si="4">SUM(G30:G41)</f>
        <v>187751.4</v>
      </c>
      <c r="H42" s="195">
        <f t="shared" si="4"/>
        <v>534275</v>
      </c>
      <c r="I42" s="195">
        <f t="shared" si="4"/>
        <v>200300</v>
      </c>
      <c r="J42" s="195">
        <f t="shared" si="4"/>
        <v>109700.6</v>
      </c>
      <c r="K42" s="195">
        <f t="shared" si="4"/>
        <v>122207.39</v>
      </c>
      <c r="L42" s="195">
        <f>SUM(L30:L41)</f>
        <v>357072.39</v>
      </c>
      <c r="M42" s="9"/>
    </row>
    <row r="43" spans="1:16" s="3" customFormat="1">
      <c r="A43" s="321">
        <v>2018</v>
      </c>
      <c r="B43" s="5" t="str">
        <f>IF(L!$A$1=1,L!B166,IF(L!$A$1=2,L!C166,L!D166))</f>
        <v>2018 Janar</v>
      </c>
      <c r="C43" s="190">
        <v>299101.73</v>
      </c>
      <c r="D43" s="196">
        <v>94267.63</v>
      </c>
      <c r="E43" s="187">
        <v>92057.72</v>
      </c>
      <c r="F43" s="190">
        <v>1545</v>
      </c>
      <c r="G43" s="197">
        <v>15856.08</v>
      </c>
      <c r="H43" s="188">
        <v>22434.5</v>
      </c>
      <c r="I43" s="197">
        <v>13131</v>
      </c>
      <c r="J43" s="199">
        <v>7016.5</v>
      </c>
      <c r="K43" s="200">
        <v>30851</v>
      </c>
      <c r="L43" s="190">
        <v>21942.299999999974</v>
      </c>
      <c r="M43" s="9"/>
    </row>
    <row r="44" spans="1:16" s="9" customFormat="1" ht="16.5">
      <c r="A44" s="321"/>
      <c r="B44" s="5" t="str">
        <f>IF(L!$A$1=1,L!B167,IF(L!$A$1=2,L!C167,L!D167))</f>
        <v>2018 Shkurt</v>
      </c>
      <c r="C44" s="223">
        <v>221109.30000000002</v>
      </c>
      <c r="D44" s="224">
        <v>109114.67</v>
      </c>
      <c r="E44" s="225">
        <v>15029.53</v>
      </c>
      <c r="F44" s="223">
        <v>2187.5</v>
      </c>
      <c r="G44" s="226">
        <v>13331</v>
      </c>
      <c r="H44" s="227">
        <v>25935.5</v>
      </c>
      <c r="I44" s="226">
        <v>13174</v>
      </c>
      <c r="J44" s="228">
        <v>9273.1</v>
      </c>
      <c r="K44" s="144">
        <v>4864</v>
      </c>
      <c r="L44" s="190">
        <v>28200</v>
      </c>
      <c r="M44" s="206"/>
    </row>
    <row r="45" spans="1:16" s="9" customFormat="1" ht="16.5">
      <c r="A45" s="321"/>
      <c r="B45" s="5" t="str">
        <f>IF(L!$A$1=1,L!B168,IF(L!$A$1=2,L!C168,L!D168))</f>
        <v xml:space="preserve">2018 Mars </v>
      </c>
      <c r="C45" s="229">
        <v>450115.77999999997</v>
      </c>
      <c r="D45" s="230">
        <v>119279.33</v>
      </c>
      <c r="E45" s="217">
        <v>177218.28</v>
      </c>
      <c r="F45" s="215">
        <v>11356.9</v>
      </c>
      <c r="G45" s="218">
        <v>14007</v>
      </c>
      <c r="H45" s="218">
        <v>61252</v>
      </c>
      <c r="I45" s="218">
        <v>16097</v>
      </c>
      <c r="J45" s="219">
        <v>6656.8</v>
      </c>
      <c r="K45" s="168">
        <v>5623</v>
      </c>
      <c r="L45" s="215">
        <v>38625.469999999972</v>
      </c>
      <c r="M45" s="119"/>
      <c r="N45" s="119"/>
    </row>
    <row r="46" spans="1:16" s="9" customFormat="1" ht="16.5">
      <c r="A46" s="321"/>
      <c r="B46" s="5" t="str">
        <f>IF(L!$A$1=1,L!B169,IF(L!$A$1=2,L!C169,L!D169))</f>
        <v>2018 Prill</v>
      </c>
      <c r="C46" s="215">
        <v>280872.52</v>
      </c>
      <c r="D46" s="216">
        <v>99107.26</v>
      </c>
      <c r="E46" s="217">
        <v>43497.98</v>
      </c>
      <c r="F46" s="215">
        <v>2886</v>
      </c>
      <c r="G46" s="218">
        <v>16574</v>
      </c>
      <c r="H46" s="218">
        <v>36295</v>
      </c>
      <c r="I46" s="218">
        <v>19799</v>
      </c>
      <c r="J46" s="230">
        <v>10760.1</v>
      </c>
      <c r="K46" s="168">
        <v>5933</v>
      </c>
      <c r="L46" s="215">
        <v>46020.18</v>
      </c>
      <c r="M46" s="119"/>
      <c r="N46" s="119"/>
    </row>
    <row r="47" spans="1:16" s="9" customFormat="1" ht="16.5">
      <c r="A47" s="321"/>
      <c r="B47" s="5" t="str">
        <f>IF(L!$A$1=1,L!B170,IF(L!$A$1=2,L!C170,L!D170))</f>
        <v>2018 Maj</v>
      </c>
      <c r="C47" s="215">
        <v>280730.78000000003</v>
      </c>
      <c r="D47" s="230">
        <v>107976.17</v>
      </c>
      <c r="E47" s="217">
        <v>25755.54</v>
      </c>
      <c r="F47" s="215">
        <v>10665.45</v>
      </c>
      <c r="G47" s="218">
        <v>13771</v>
      </c>
      <c r="H47" s="227">
        <v>38844.5</v>
      </c>
      <c r="I47" s="218">
        <v>19120</v>
      </c>
      <c r="J47" s="219">
        <v>7683.4</v>
      </c>
      <c r="K47" s="117">
        <v>19836</v>
      </c>
      <c r="L47" s="215">
        <v>37078.720000000001</v>
      </c>
      <c r="M47" s="261"/>
      <c r="N47" s="120"/>
    </row>
    <row r="48" spans="1:16" s="9" customFormat="1" ht="18.75">
      <c r="A48" s="321"/>
      <c r="B48" s="5" t="str">
        <f>IF(L!$A$1=1,L!B171,IF(L!$A$1=2,L!C171,L!D171))</f>
        <v>2018 Qershor</v>
      </c>
      <c r="C48" s="215">
        <v>514272.89999999997</v>
      </c>
      <c r="D48" s="230">
        <v>184442.15</v>
      </c>
      <c r="E48" s="217">
        <v>172512.19</v>
      </c>
      <c r="F48" s="215">
        <v>6752.5</v>
      </c>
      <c r="G48" s="218">
        <v>13843</v>
      </c>
      <c r="H48" s="218">
        <v>65741</v>
      </c>
      <c r="I48" s="218">
        <v>16610</v>
      </c>
      <c r="J48" s="219">
        <v>5505</v>
      </c>
      <c r="K48" s="117">
        <v>15769</v>
      </c>
      <c r="L48" s="215">
        <v>33098.06</v>
      </c>
      <c r="M48" s="142"/>
      <c r="N48" s="120"/>
      <c r="O48" s="120"/>
      <c r="P48" s="120"/>
    </row>
    <row r="49" spans="1:14" s="9" customFormat="1" ht="16.5">
      <c r="A49" s="321"/>
      <c r="B49" s="5" t="str">
        <f>IF(L!$A$1=1,L!B172,IF(L!$A$1=2,L!C172,L!D172))</f>
        <v>2018 Korrik</v>
      </c>
      <c r="C49" s="215">
        <v>381356.68</v>
      </c>
      <c r="D49" s="216">
        <v>165623.94</v>
      </c>
      <c r="E49" s="217">
        <v>34111.839999999997</v>
      </c>
      <c r="F49" s="215">
        <v>13740.9</v>
      </c>
      <c r="G49" s="218">
        <v>20408</v>
      </c>
      <c r="H49" s="230">
        <v>54942</v>
      </c>
      <c r="I49" s="231">
        <v>19579</v>
      </c>
      <c r="J49" s="219">
        <v>8510.5</v>
      </c>
      <c r="K49" s="117">
        <v>1869</v>
      </c>
      <c r="L49" s="215">
        <v>62571.5</v>
      </c>
      <c r="M49" s="121"/>
      <c r="N49" s="121"/>
    </row>
    <row r="50" spans="1:14" s="9" customFormat="1" ht="16.5">
      <c r="A50" s="321"/>
      <c r="B50" s="5" t="str">
        <f>IF(L!$A$1=1,L!B173,IF(L!$A$1=2,L!C173,L!D173))</f>
        <v>2018 Gusht</v>
      </c>
      <c r="C50" s="215">
        <v>446484.10000000003</v>
      </c>
      <c r="D50" s="216">
        <v>136449.96</v>
      </c>
      <c r="E50" s="217">
        <v>95505.84</v>
      </c>
      <c r="F50" s="215">
        <v>40395.100000000006</v>
      </c>
      <c r="G50" s="218">
        <v>20292</v>
      </c>
      <c r="H50" s="218">
        <v>70350.5</v>
      </c>
      <c r="I50" s="234">
        <v>19722</v>
      </c>
      <c r="J50" s="233">
        <v>11091.5</v>
      </c>
      <c r="K50" s="117">
        <v>1481</v>
      </c>
      <c r="L50" s="215">
        <v>51196.2</v>
      </c>
      <c r="M50" s="122"/>
      <c r="N50" s="122"/>
    </row>
    <row r="51" spans="1:14" s="9" customFormat="1" ht="15.75">
      <c r="A51" s="321"/>
      <c r="B51" s="5" t="str">
        <f>IF(L!$A$1=1,L!B174,IF(L!$A$1=2,L!C174,L!D174))</f>
        <v>2018 Shtator</v>
      </c>
      <c r="C51" s="116">
        <v>260941.48</v>
      </c>
      <c r="D51" s="109">
        <v>70148.710000000006</v>
      </c>
      <c r="E51" s="110">
        <v>34026.49</v>
      </c>
      <c r="F51" s="116">
        <v>2618.08</v>
      </c>
      <c r="G51" s="111">
        <v>19505</v>
      </c>
      <c r="H51" s="111">
        <v>70528.3</v>
      </c>
      <c r="I51" s="234">
        <v>17719</v>
      </c>
      <c r="J51" s="112">
        <v>8293.7999999999993</v>
      </c>
      <c r="K51" s="118">
        <v>324</v>
      </c>
      <c r="L51" s="116">
        <v>37778.1</v>
      </c>
      <c r="M51" s="235"/>
      <c r="N51" s="122"/>
    </row>
    <row r="52" spans="1:14" s="9" customFormat="1">
      <c r="A52" s="321"/>
      <c r="B52" s="5" t="str">
        <f>IF(L!$A$1=1,L!B175,IF(L!$A$1=2,L!C175,L!D175))</f>
        <v>2018 Tetor</v>
      </c>
      <c r="C52" s="116">
        <v>322353.33999999997</v>
      </c>
      <c r="D52" s="233">
        <v>100385.81</v>
      </c>
      <c r="E52" s="110">
        <v>40549.25</v>
      </c>
      <c r="F52" s="116">
        <v>24037.759999999998</v>
      </c>
      <c r="G52" s="111">
        <v>17294.5</v>
      </c>
      <c r="H52" s="111">
        <v>61535</v>
      </c>
      <c r="I52" s="111">
        <v>19576</v>
      </c>
      <c r="J52" s="112">
        <v>12382.8</v>
      </c>
      <c r="K52" s="117"/>
      <c r="L52" s="116">
        <v>46592.22</v>
      </c>
      <c r="M52" s="235"/>
      <c r="N52" s="122"/>
    </row>
    <row r="53" spans="1:14" s="9" customFormat="1">
      <c r="A53" s="321"/>
      <c r="B53" s="5" t="str">
        <f>IF(L!$A$1=1,L!B176,IF(L!$A$1=2,L!C176,L!D176))</f>
        <v xml:space="preserve">2018 Nëntor </v>
      </c>
      <c r="C53" s="250">
        <v>330998.58999999997</v>
      </c>
      <c r="D53" s="251">
        <v>102076.34</v>
      </c>
      <c r="E53" s="250">
        <v>33134.74</v>
      </c>
      <c r="F53" s="250">
        <v>5081.12</v>
      </c>
      <c r="G53" s="250">
        <v>13797.84</v>
      </c>
      <c r="H53" s="250">
        <v>72486</v>
      </c>
      <c r="I53" s="250">
        <v>14364</v>
      </c>
      <c r="J53" s="250">
        <v>7966.5</v>
      </c>
      <c r="K53" s="250">
        <v>1915</v>
      </c>
      <c r="L53" s="250">
        <v>80177.05</v>
      </c>
      <c r="M53" s="235"/>
      <c r="N53" s="235"/>
    </row>
    <row r="54" spans="1:14" s="9" customFormat="1">
      <c r="A54" s="321"/>
      <c r="B54" s="5" t="str">
        <f>IF(L!$A$1=1,L!B177,IF(L!$A$1=2,L!C177,L!D177))</f>
        <v>2018 Dhjetor</v>
      </c>
      <c r="C54" s="250">
        <v>460635.75</v>
      </c>
      <c r="D54" s="252">
        <v>268543.43</v>
      </c>
      <c r="E54" s="253">
        <v>9247.33</v>
      </c>
      <c r="F54" s="250">
        <v>1003</v>
      </c>
      <c r="G54" s="250">
        <v>18475.5</v>
      </c>
      <c r="H54" s="250">
        <v>78427.159999999989</v>
      </c>
      <c r="I54" s="250">
        <v>17750</v>
      </c>
      <c r="J54" s="254">
        <v>12256.2</v>
      </c>
      <c r="K54" s="250">
        <v>6711</v>
      </c>
      <c r="L54" s="250">
        <v>48222.13</v>
      </c>
    </row>
    <row r="55" spans="1:14" s="3" customFormat="1">
      <c r="A55" s="321"/>
      <c r="B55" s="6" t="str">
        <f>IF(L!$A$1=1,L!B178,IF(L!$A$1=2,L!C178,L!D178))</f>
        <v>Gjithsej 2018</v>
      </c>
      <c r="C55" s="113">
        <f t="shared" ref="C55" si="5">SUM(D55:L55)</f>
        <v>4248972.95</v>
      </c>
      <c r="D55" s="114">
        <f>SUM(D43:D54)</f>
        <v>1557415.4000000001</v>
      </c>
      <c r="E55" s="114">
        <f>SUM(E43:E54)</f>
        <v>772646.72999999986</v>
      </c>
      <c r="F55" s="114">
        <f>SUM(F43:F54)</f>
        <v>122269.31</v>
      </c>
      <c r="G55" s="114">
        <f t="shared" ref="G55:K55" si="6">SUM(G43:G54)</f>
        <v>197154.92</v>
      </c>
      <c r="H55" s="114">
        <f t="shared" si="6"/>
        <v>658771.46000000008</v>
      </c>
      <c r="I55" s="114">
        <f t="shared" si="6"/>
        <v>206641</v>
      </c>
      <c r="J55" s="114">
        <f t="shared" si="6"/>
        <v>107396.2</v>
      </c>
      <c r="K55" s="114">
        <f t="shared" si="6"/>
        <v>95176</v>
      </c>
      <c r="L55" s="114">
        <f>SUM(L43:L54)</f>
        <v>531501.92999999993</v>
      </c>
      <c r="M55" s="9"/>
    </row>
    <row r="56" spans="1:14" s="3" customFormat="1" ht="16.5">
      <c r="A56" s="321">
        <v>2019</v>
      </c>
      <c r="B56" s="5" t="str">
        <f>IF(L!$A$1=1,L!B179,IF(L!$A$1=2,L!C179,L!D179))</f>
        <v>2019 Janar</v>
      </c>
      <c r="C56" s="268">
        <f>SUM(D56:L56)</f>
        <v>276567.32</v>
      </c>
      <c r="D56" s="216">
        <v>116205.95</v>
      </c>
      <c r="E56" s="217">
        <v>5075.63</v>
      </c>
      <c r="F56" s="268">
        <v>11227.64</v>
      </c>
      <c r="G56" s="280">
        <v>11569</v>
      </c>
      <c r="H56" s="269">
        <v>52774</v>
      </c>
      <c r="I56" s="281">
        <v>12150</v>
      </c>
      <c r="J56" s="270">
        <f t="shared" ref="J56" si="7">+J44</f>
        <v>9273.1</v>
      </c>
      <c r="K56" s="271">
        <v>29547</v>
      </c>
      <c r="L56" s="268">
        <v>28745</v>
      </c>
      <c r="M56" s="9"/>
      <c r="N56" s="248"/>
    </row>
    <row r="57" spans="1:14" s="3" customFormat="1" ht="16.5">
      <c r="A57" s="321"/>
      <c r="B57" s="5" t="str">
        <f>IF(L!$A$1=1,L!B180,IF(L!$A$1=2,L!C180,L!D180))</f>
        <v>2019 Shkurt</v>
      </c>
      <c r="C57" s="272">
        <f>SUM(D57:L57)</f>
        <v>244919.84</v>
      </c>
      <c r="D57" s="224">
        <v>90230.66</v>
      </c>
      <c r="E57" s="225">
        <v>14959.98</v>
      </c>
      <c r="F57" s="272">
        <v>4037.2</v>
      </c>
      <c r="G57" s="226">
        <v>16770.5</v>
      </c>
      <c r="H57" s="273">
        <v>58599</v>
      </c>
      <c r="I57" s="226">
        <v>13010</v>
      </c>
      <c r="J57" s="228">
        <v>7751.5</v>
      </c>
      <c r="K57" s="274">
        <v>9382</v>
      </c>
      <c r="L57" s="268">
        <v>30179</v>
      </c>
      <c r="M57" s="9"/>
    </row>
    <row r="58" spans="1:14" s="3" customFormat="1" ht="16.5">
      <c r="A58" s="321"/>
      <c r="B58" s="5" t="str">
        <f>IF(L!$A$1=1,L!B181,IF(L!$A$1=2,L!C181,L!D181))</f>
        <v xml:space="preserve">2019 Mars </v>
      </c>
      <c r="C58" s="275">
        <f t="shared" ref="C58:C68" si="8">SUM(D58:L58)</f>
        <v>351258.65</v>
      </c>
      <c r="D58" s="276">
        <v>140268.31</v>
      </c>
      <c r="E58" s="217">
        <v>22293.73</v>
      </c>
      <c r="F58" s="268">
        <v>16672.25</v>
      </c>
      <c r="G58" s="218">
        <v>16025</v>
      </c>
      <c r="H58" s="218">
        <f>71787+16780</f>
        <v>88567</v>
      </c>
      <c r="I58" s="282">
        <v>16860</v>
      </c>
      <c r="J58" s="219">
        <v>7735.5</v>
      </c>
      <c r="K58" s="270">
        <v>5837</v>
      </c>
      <c r="L58" s="268">
        <v>36999.86</v>
      </c>
      <c r="M58" s="9"/>
    </row>
    <row r="59" spans="1:14" s="3" customFormat="1" ht="16.5">
      <c r="A59" s="321"/>
      <c r="B59" s="5" t="str">
        <f>IF(L!$A$1=1,L!B182,IF(L!$A$1=2,L!C182,L!D182))</f>
        <v>2019 Prill</v>
      </c>
      <c r="C59" s="275">
        <f t="shared" si="8"/>
        <v>466440.35000000003</v>
      </c>
      <c r="D59" s="216">
        <v>278650.83</v>
      </c>
      <c r="E59" s="270">
        <v>12253.9</v>
      </c>
      <c r="F59" s="268">
        <v>7700.52</v>
      </c>
      <c r="G59" s="218">
        <v>16804</v>
      </c>
      <c r="H59" s="283">
        <f>66336+3035</f>
        <v>69371</v>
      </c>
      <c r="I59" s="282">
        <v>18490</v>
      </c>
      <c r="J59" s="270">
        <f t="shared" ref="J59" si="9">+J46</f>
        <v>10760.1</v>
      </c>
      <c r="K59" s="277">
        <v>5596</v>
      </c>
      <c r="L59" s="268">
        <v>46814</v>
      </c>
      <c r="M59" s="9"/>
      <c r="N59" s="255"/>
    </row>
    <row r="60" spans="1:14" s="266" customFormat="1" ht="16.5">
      <c r="A60" s="321"/>
      <c r="B60" s="263" t="str">
        <f>IF(L!$A$1=1,L!B183,IF(L!$A$1=2,L!C183,L!D183))</f>
        <v>2019 Maj</v>
      </c>
      <c r="C60" s="271">
        <f t="shared" si="8"/>
        <v>488569.32999999996</v>
      </c>
      <c r="D60" s="270">
        <v>162190.87</v>
      </c>
      <c r="E60" s="217">
        <v>142946.68</v>
      </c>
      <c r="F60" s="271">
        <v>8669</v>
      </c>
      <c r="G60" s="218">
        <v>16451</v>
      </c>
      <c r="H60" s="278">
        <f>67290+3360</f>
        <v>70650</v>
      </c>
      <c r="I60" s="218">
        <v>21450</v>
      </c>
      <c r="J60" s="219">
        <v>8305</v>
      </c>
      <c r="K60" s="271">
        <v>10568</v>
      </c>
      <c r="L60" s="271">
        <f>44338.78+3000</f>
        <v>47338.78</v>
      </c>
      <c r="M60" s="264"/>
      <c r="N60" s="265"/>
    </row>
    <row r="61" spans="1:14" s="3" customFormat="1" ht="16.5">
      <c r="A61" s="321"/>
      <c r="B61" s="5" t="str">
        <f>IF(L!$A$1=1,L!B184,IF(L!$A$1=2,L!C184,L!D184))</f>
        <v>2019 Qershor</v>
      </c>
      <c r="C61" s="268">
        <f t="shared" si="8"/>
        <v>359912.12</v>
      </c>
      <c r="D61" s="270">
        <v>158394.01999999999</v>
      </c>
      <c r="E61" s="217">
        <v>16888.97</v>
      </c>
      <c r="F61" s="268">
        <v>10229.23</v>
      </c>
      <c r="G61" s="218">
        <v>16580</v>
      </c>
      <c r="H61" s="218">
        <f>53970+2625</f>
        <v>56595</v>
      </c>
      <c r="I61" s="218">
        <v>16580</v>
      </c>
      <c r="J61" s="219">
        <v>4009.5</v>
      </c>
      <c r="K61" s="271">
        <v>24180</v>
      </c>
      <c r="L61" s="268">
        <v>56455.4</v>
      </c>
      <c r="M61" s="235"/>
      <c r="N61" s="256"/>
    </row>
    <row r="62" spans="1:14" s="3" customFormat="1" ht="16.5">
      <c r="A62" s="321"/>
      <c r="B62" s="5" t="str">
        <f>IF(L!$A$1=1,L!B185,IF(L!$A$1=2,L!C185,L!D185))</f>
        <v>2019 Korrik</v>
      </c>
      <c r="C62" s="268">
        <f t="shared" si="8"/>
        <v>461365.31</v>
      </c>
      <c r="D62" s="270">
        <v>167098.6</v>
      </c>
      <c r="E62" s="217">
        <v>70245.960000000006</v>
      </c>
      <c r="F62" s="268">
        <v>31226.760000000002</v>
      </c>
      <c r="G62" s="218">
        <v>18734.5</v>
      </c>
      <c r="H62" s="276">
        <f>67133.5+3485</f>
        <v>70618.5</v>
      </c>
      <c r="I62" s="279">
        <v>20500</v>
      </c>
      <c r="J62" s="219">
        <v>7122.5</v>
      </c>
      <c r="K62" s="271">
        <v>4559</v>
      </c>
      <c r="L62" s="268">
        <v>71259.490000000005</v>
      </c>
      <c r="M62" s="262"/>
    </row>
    <row r="63" spans="1:14" s="3" customFormat="1" ht="16.5">
      <c r="A63" s="321"/>
      <c r="B63" s="5" t="str">
        <f>IF(L!$A$1=1,L!B186,IF(L!$A$1=2,L!C186,L!D186))</f>
        <v>2019 Gusht</v>
      </c>
      <c r="C63" s="268">
        <f t="shared" si="8"/>
        <v>431535.95</v>
      </c>
      <c r="D63" s="216">
        <v>206915.1</v>
      </c>
      <c r="E63" s="217">
        <v>28676.85</v>
      </c>
      <c r="F63" s="268">
        <v>10874.8</v>
      </c>
      <c r="G63" s="218">
        <v>19966</v>
      </c>
      <c r="H63" s="218">
        <f>69345+6060</f>
        <v>75405</v>
      </c>
      <c r="I63" s="282">
        <v>18950</v>
      </c>
      <c r="J63" s="270">
        <v>8636.5</v>
      </c>
      <c r="K63" s="282">
        <v>581</v>
      </c>
      <c r="L63" s="268">
        <v>61530.7</v>
      </c>
      <c r="M63" s="235"/>
      <c r="N63" s="256"/>
    </row>
    <row r="64" spans="1:14" s="3" customFormat="1" ht="16.5">
      <c r="A64" s="321"/>
      <c r="B64" s="5" t="str">
        <f>IF(L!$A$1=1,L!B187,IF(L!$A$1=2,L!C187,L!D187))</f>
        <v>2019 Shtator</v>
      </c>
      <c r="C64" s="268">
        <f t="shared" si="8"/>
        <v>393344.94</v>
      </c>
      <c r="D64" s="216">
        <v>203313.93</v>
      </c>
      <c r="E64" s="217">
        <v>30200.89</v>
      </c>
      <c r="F64" s="268">
        <v>3338.62</v>
      </c>
      <c r="G64" s="218">
        <v>19254.5</v>
      </c>
      <c r="H64" s="284">
        <f>55242.5+2950</f>
        <v>58192.5</v>
      </c>
      <c r="I64" s="279">
        <v>20670</v>
      </c>
      <c r="J64" s="219">
        <v>11255.5</v>
      </c>
      <c r="K64" s="277">
        <v>5613</v>
      </c>
      <c r="L64" s="268">
        <v>41506</v>
      </c>
      <c r="M64" s="9"/>
      <c r="N64" s="248"/>
    </row>
    <row r="65" spans="1:14" s="3" customFormat="1" ht="15.75">
      <c r="A65" s="321"/>
      <c r="B65" s="5" t="str">
        <f>IF(L!$A$1=1,L!B188,IF(L!$A$1=2,L!C188,L!D188))</f>
        <v>2019 Tetor</v>
      </c>
      <c r="C65" s="116">
        <f t="shared" si="8"/>
        <v>421839.52</v>
      </c>
      <c r="D65" s="233">
        <v>182679.82</v>
      </c>
      <c r="E65" s="110">
        <v>23138.66</v>
      </c>
      <c r="F65" s="116">
        <v>35421.15</v>
      </c>
      <c r="G65" s="111">
        <v>16359</v>
      </c>
      <c r="H65" s="286">
        <f>65866+5155</f>
        <v>71021</v>
      </c>
      <c r="I65" s="111">
        <v>17820</v>
      </c>
      <c r="J65" s="112">
        <v>9526</v>
      </c>
      <c r="K65" s="117">
        <v>7700</v>
      </c>
      <c r="L65" s="116">
        <v>58173.89</v>
      </c>
      <c r="M65" s="285"/>
    </row>
    <row r="66" spans="1:14" s="3" customFormat="1" ht="15.75" thickBot="1">
      <c r="A66" s="321"/>
      <c r="B66" s="5" t="str">
        <f>IF(L!$A$1=1,L!B189,IF(L!$A$1=2,L!C189,L!D189))</f>
        <v xml:space="preserve">2019 Nëntor </v>
      </c>
      <c r="C66" s="108">
        <f t="shared" si="8"/>
        <v>299075.54000000004</v>
      </c>
      <c r="D66" s="233">
        <v>85548.98</v>
      </c>
      <c r="E66" s="108">
        <v>59980.36</v>
      </c>
      <c r="F66" s="108">
        <f>6503+143</f>
        <v>6646</v>
      </c>
      <c r="G66" s="108">
        <v>13111.2</v>
      </c>
      <c r="H66" s="108">
        <f>57571+4385</f>
        <v>61956</v>
      </c>
      <c r="I66" s="108">
        <v>17960</v>
      </c>
      <c r="J66" s="108">
        <v>11259</v>
      </c>
      <c r="K66" s="108">
        <v>5862</v>
      </c>
      <c r="L66" s="108">
        <v>36752</v>
      </c>
      <c r="M66" s="267"/>
      <c r="N66" s="257"/>
    </row>
    <row r="67" spans="1:14" s="3" customFormat="1" ht="15.75" thickBot="1">
      <c r="A67" s="321"/>
      <c r="B67" s="5" t="str">
        <f>IF(L!$A$1=1,L!B190,IF(L!$A$1=2,L!C190,L!D190))</f>
        <v>2019 Dhjetor</v>
      </c>
      <c r="C67" s="108">
        <f t="shared" si="8"/>
        <v>419944.45</v>
      </c>
      <c r="D67" s="233">
        <v>142548.89000000001</v>
      </c>
      <c r="E67" s="141">
        <v>87158.56</v>
      </c>
      <c r="F67" s="108">
        <v>24786</v>
      </c>
      <c r="G67" s="108">
        <v>16331</v>
      </c>
      <c r="H67" s="108">
        <f>51973+4050</f>
        <v>56023</v>
      </c>
      <c r="I67" s="108">
        <v>18630</v>
      </c>
      <c r="J67" s="210">
        <v>12283</v>
      </c>
      <c r="K67" s="108">
        <v>7145</v>
      </c>
      <c r="L67" s="108">
        <v>55039</v>
      </c>
      <c r="M67" s="9"/>
      <c r="N67" s="248"/>
    </row>
    <row r="68" spans="1:14" s="3" customFormat="1">
      <c r="A68" s="321"/>
      <c r="B68" s="6" t="str">
        <f>IF(L!$A$1=1,L!B191,IF(L!$A$1=2,L!C191,L!D191))</f>
        <v>Gjithsej 2019</v>
      </c>
      <c r="C68" s="113">
        <f t="shared" si="8"/>
        <v>4614773.32</v>
      </c>
      <c r="D68" s="114">
        <f>SUM(D56:D67)</f>
        <v>1934045.96</v>
      </c>
      <c r="E68" s="114">
        <f>SUM(E56:E67)</f>
        <v>513820.16999999993</v>
      </c>
      <c r="F68" s="114">
        <f>SUM(F56:F67)</f>
        <v>170829.17</v>
      </c>
      <c r="G68" s="114">
        <f t="shared" ref="G68:K68" si="10">SUM(G56:G67)</f>
        <v>197955.7</v>
      </c>
      <c r="H68" s="114">
        <f t="shared" si="10"/>
        <v>789772</v>
      </c>
      <c r="I68" s="114">
        <f t="shared" si="10"/>
        <v>213070</v>
      </c>
      <c r="J68" s="114">
        <f t="shared" si="10"/>
        <v>107917.2</v>
      </c>
      <c r="K68" s="114">
        <f t="shared" si="10"/>
        <v>116570</v>
      </c>
      <c r="L68" s="114">
        <f>SUM(L56:L67)</f>
        <v>570793.12</v>
      </c>
      <c r="M68" s="9"/>
    </row>
    <row r="69" spans="1:14" s="3" customFormat="1" ht="16.5">
      <c r="A69" s="321">
        <v>2020</v>
      </c>
      <c r="B69" s="5" t="str">
        <f>IF(L!$A$1=1,L!B192,IF(L!$A$1=2,L!C192,L!D192))</f>
        <v>2020 Janar</v>
      </c>
      <c r="C69" s="268">
        <f>SUM(D69:L69)</f>
        <v>387408.06</v>
      </c>
      <c r="D69" s="216">
        <v>111800.98</v>
      </c>
      <c r="E69" s="217">
        <v>106750.69</v>
      </c>
      <c r="F69" s="268">
        <v>8489</v>
      </c>
      <c r="G69" s="280">
        <v>8533</v>
      </c>
      <c r="H69" s="269">
        <f>53816.5+6390</f>
        <v>60206.5</v>
      </c>
      <c r="I69" s="281">
        <v>10670</v>
      </c>
      <c r="J69" s="270">
        <f>9883.5-6000</f>
        <v>3883.5</v>
      </c>
      <c r="K69" s="271">
        <v>34669</v>
      </c>
      <c r="L69" s="268">
        <v>42405.39</v>
      </c>
      <c r="M69" s="235"/>
      <c r="N69" s="248"/>
    </row>
    <row r="70" spans="1:14" s="3" customFormat="1" ht="16.5">
      <c r="A70" s="321"/>
      <c r="B70" s="5" t="str">
        <f>IF(L!$A$1=1,L!B193,IF(L!$A$1=2,L!C193,L!D193))</f>
        <v>2020 Shkurt</v>
      </c>
      <c r="C70" s="272">
        <f>SUM(D70:L70)</f>
        <v>312359.07999999996</v>
      </c>
      <c r="D70" s="224">
        <v>91040.22</v>
      </c>
      <c r="E70" s="225">
        <v>18312.43</v>
      </c>
      <c r="F70" s="272">
        <f>1326+1668</f>
        <v>2994</v>
      </c>
      <c r="G70" s="226">
        <v>14305</v>
      </c>
      <c r="H70" s="273">
        <f>58561.5+5100</f>
        <v>63661.5</v>
      </c>
      <c r="I70" s="226">
        <v>16000</v>
      </c>
      <c r="J70" s="293">
        <v>11736</v>
      </c>
      <c r="K70" s="274">
        <v>8122</v>
      </c>
      <c r="L70" s="268">
        <v>86187.93</v>
      </c>
      <c r="M70" s="235"/>
    </row>
    <row r="71" spans="1:14" s="3" customFormat="1" ht="16.5">
      <c r="A71" s="321"/>
      <c r="B71" s="5" t="str">
        <f>IF(L!$A$1=1,L!B194,IF(L!$A$1=2,L!C194,L!D194))</f>
        <v xml:space="preserve">2020 Mars </v>
      </c>
      <c r="C71" s="275">
        <f t="shared" ref="C71:C81" si="11">SUM(D71:L71)</f>
        <v>417077.33</v>
      </c>
      <c r="D71" s="276">
        <v>53171.07</v>
      </c>
      <c r="E71" s="217">
        <v>258426.57</v>
      </c>
      <c r="F71" s="268">
        <v>3126</v>
      </c>
      <c r="G71" s="218">
        <v>9635</v>
      </c>
      <c r="H71" s="218">
        <f>1900+36641</f>
        <v>38541</v>
      </c>
      <c r="I71" s="282">
        <v>10150</v>
      </c>
      <c r="J71" s="219">
        <v>8021.5</v>
      </c>
      <c r="K71" s="270">
        <v>2816</v>
      </c>
      <c r="L71" s="268">
        <v>33190.19</v>
      </c>
      <c r="M71" s="294"/>
    </row>
    <row r="72" spans="1:14" s="3" customFormat="1" ht="16.5">
      <c r="A72" s="321"/>
      <c r="B72" s="5" t="str">
        <f>IF(L!$A$1=1,L!B195,IF(L!$A$1=2,L!C195,L!D195))</f>
        <v>2020 Prill</v>
      </c>
      <c r="C72" s="275">
        <f t="shared" si="11"/>
        <v>276195.37</v>
      </c>
      <c r="D72" s="296">
        <v>9062.6200000000008</v>
      </c>
      <c r="E72" s="270">
        <v>177628.75</v>
      </c>
      <c r="F72" s="268">
        <v>53883</v>
      </c>
      <c r="G72" s="218">
        <v>1371</v>
      </c>
      <c r="H72" s="283"/>
      <c r="I72" s="282">
        <v>1340</v>
      </c>
      <c r="J72" s="270">
        <v>1300.5</v>
      </c>
      <c r="K72" s="277">
        <v>59</v>
      </c>
      <c r="L72" s="268">
        <v>31550.5</v>
      </c>
      <c r="M72" s="235"/>
      <c r="N72" s="255"/>
    </row>
    <row r="73" spans="1:14" s="266" customFormat="1" ht="16.5">
      <c r="A73" s="321"/>
      <c r="B73" s="263" t="str">
        <f>IF(L!$A$1=1,L!B196,IF(L!$A$1=2,L!C196,L!D196))</f>
        <v>2020 Maj</v>
      </c>
      <c r="C73" s="271">
        <f t="shared" si="11"/>
        <v>156043.65999999997</v>
      </c>
      <c r="D73" s="270">
        <v>52122.45</v>
      </c>
      <c r="E73" s="217">
        <v>47708.41</v>
      </c>
      <c r="F73" s="271">
        <v>13915</v>
      </c>
      <c r="G73" s="218">
        <v>1573</v>
      </c>
      <c r="H73" s="278"/>
      <c r="I73" s="218">
        <v>14030</v>
      </c>
      <c r="J73" s="219">
        <v>2261</v>
      </c>
      <c r="K73" s="271">
        <v>500</v>
      </c>
      <c r="L73" s="271">
        <v>23933.8</v>
      </c>
      <c r="M73" s="264"/>
      <c r="N73" s="265"/>
    </row>
    <row r="74" spans="1:14" s="3" customFormat="1" ht="16.5">
      <c r="A74" s="321"/>
      <c r="B74" s="5" t="str">
        <f>IF(L!$A$1=1,L!B197,IF(L!$A$1=2,L!C197,L!D197))</f>
        <v>2020 Qershor</v>
      </c>
      <c r="C74" s="268">
        <f t="shared" si="11"/>
        <v>316066.82</v>
      </c>
      <c r="D74" s="296">
        <v>140008.97</v>
      </c>
      <c r="E74" s="217">
        <v>81873.570000000007</v>
      </c>
      <c r="F74" s="268">
        <v>5896.2</v>
      </c>
      <c r="G74" s="218">
        <v>7649</v>
      </c>
      <c r="H74" s="218"/>
      <c r="I74" s="218">
        <v>27840</v>
      </c>
      <c r="J74" s="219">
        <v>4979</v>
      </c>
      <c r="K74" s="271">
        <v>8635</v>
      </c>
      <c r="L74" s="268">
        <v>39185.08</v>
      </c>
      <c r="M74" s="235"/>
      <c r="N74" s="256"/>
    </row>
    <row r="75" spans="1:14" s="3" customFormat="1" ht="16.5">
      <c r="A75" s="321"/>
      <c r="B75" s="5" t="str">
        <f>IF(L!$A$1=1,L!B198,IF(L!$A$1=2,L!C198,L!D198))</f>
        <v>2020 Korrik</v>
      </c>
      <c r="C75" s="268">
        <f t="shared" si="11"/>
        <v>0</v>
      </c>
      <c r="D75" s="270"/>
      <c r="E75" s="217"/>
      <c r="F75" s="268"/>
      <c r="G75" s="218"/>
      <c r="H75" s="276"/>
      <c r="I75" s="279"/>
      <c r="J75" s="219"/>
      <c r="K75" s="271"/>
      <c r="L75" s="268"/>
      <c r="M75" s="262"/>
    </row>
    <row r="76" spans="1:14" s="3" customFormat="1" ht="16.5">
      <c r="A76" s="321"/>
      <c r="B76" s="5" t="str">
        <f>IF(L!$A$1=1,L!B199,IF(L!$A$1=2,L!C199,L!D199))</f>
        <v>2020 Gusht</v>
      </c>
      <c r="C76" s="268">
        <f t="shared" si="11"/>
        <v>0</v>
      </c>
      <c r="D76" s="216"/>
      <c r="E76" s="217"/>
      <c r="F76" s="268"/>
      <c r="G76" s="218"/>
      <c r="H76" s="218"/>
      <c r="I76" s="282"/>
      <c r="J76" s="270"/>
      <c r="K76" s="282"/>
      <c r="L76" s="268"/>
      <c r="M76" s="235"/>
      <c r="N76" s="256"/>
    </row>
    <row r="77" spans="1:14" s="3" customFormat="1" ht="16.5">
      <c r="A77" s="321"/>
      <c r="B77" s="5" t="str">
        <f>IF(L!$A$1=1,L!B200,IF(L!$A$1=2,L!C200,L!D200))</f>
        <v>2020 Shtator</v>
      </c>
      <c r="C77" s="268">
        <f t="shared" si="11"/>
        <v>0</v>
      </c>
      <c r="D77" s="216"/>
      <c r="E77" s="217"/>
      <c r="F77" s="268"/>
      <c r="G77" s="218"/>
      <c r="H77" s="284"/>
      <c r="I77" s="279"/>
      <c r="J77" s="219"/>
      <c r="K77" s="277"/>
      <c r="L77" s="268"/>
      <c r="M77" s="9"/>
      <c r="N77" s="248"/>
    </row>
    <row r="78" spans="1:14" s="3" customFormat="1" ht="15.75">
      <c r="A78" s="321"/>
      <c r="B78" s="5" t="str">
        <f>IF(L!$A$1=1,L!B201,IF(L!$A$1=2,L!C201,L!D201))</f>
        <v>2020 Tetor</v>
      </c>
      <c r="C78" s="116">
        <f t="shared" si="11"/>
        <v>0</v>
      </c>
      <c r="D78" s="233"/>
      <c r="E78" s="110"/>
      <c r="F78" s="116"/>
      <c r="G78" s="111"/>
      <c r="H78" s="286"/>
      <c r="I78" s="111"/>
      <c r="J78" s="112"/>
      <c r="K78" s="117"/>
      <c r="L78" s="116"/>
      <c r="M78" s="285"/>
    </row>
    <row r="79" spans="1:14" s="3" customFormat="1" ht="15.75" thickBot="1">
      <c r="A79" s="321"/>
      <c r="B79" s="5" t="str">
        <f>IF(L!$A$1=1,L!B202,IF(L!$A$1=2,L!C202,L!D202))</f>
        <v xml:space="preserve">2020 Nëntor </v>
      </c>
      <c r="C79" s="108">
        <f t="shared" si="11"/>
        <v>0</v>
      </c>
      <c r="D79" s="233"/>
      <c r="E79" s="108"/>
      <c r="F79" s="108"/>
      <c r="G79" s="108"/>
      <c r="H79" s="108"/>
      <c r="I79" s="108"/>
      <c r="J79" s="108"/>
      <c r="K79" s="108"/>
      <c r="L79" s="108"/>
      <c r="M79" s="267"/>
      <c r="N79" s="257"/>
    </row>
    <row r="80" spans="1:14" s="3" customFormat="1" ht="15.75" thickBot="1">
      <c r="A80" s="321"/>
      <c r="B80" s="5" t="str">
        <f>IF(L!$A$1=1,L!B203,IF(L!$A$1=2,L!C203,L!D203))</f>
        <v>2020 Dhjetor</v>
      </c>
      <c r="C80" s="108">
        <f t="shared" si="11"/>
        <v>0</v>
      </c>
      <c r="D80" s="233"/>
      <c r="E80" s="141"/>
      <c r="F80" s="108"/>
      <c r="G80" s="108"/>
      <c r="H80" s="108"/>
      <c r="I80" s="108"/>
      <c r="J80" s="210"/>
      <c r="K80" s="108"/>
      <c r="L80" s="108"/>
      <c r="M80" s="9"/>
      <c r="N80" s="248"/>
    </row>
    <row r="81" spans="1:13" s="3" customFormat="1">
      <c r="A81" s="321"/>
      <c r="B81" s="6" t="str">
        <f>IF(L!$A$1=1,L!B204,IF(L!$A$1=2,L!C204,L!D204))</f>
        <v>Gjithsej 2020</v>
      </c>
      <c r="C81" s="113">
        <f t="shared" si="11"/>
        <v>1865150.3199999998</v>
      </c>
      <c r="D81" s="114">
        <f>SUM(D69:D80)</f>
        <v>457206.31000000006</v>
      </c>
      <c r="E81" s="114">
        <f>SUM(E69:E80)</f>
        <v>690700.41999999993</v>
      </c>
      <c r="F81" s="114">
        <f>SUM(F69:F80)</f>
        <v>88303.2</v>
      </c>
      <c r="G81" s="114">
        <f t="shared" ref="G81:K81" si="12">SUM(G69:G80)</f>
        <v>43066</v>
      </c>
      <c r="H81" s="114">
        <f t="shared" si="12"/>
        <v>162409</v>
      </c>
      <c r="I81" s="114">
        <f t="shared" si="12"/>
        <v>80030</v>
      </c>
      <c r="J81" s="114">
        <f t="shared" si="12"/>
        <v>32181.5</v>
      </c>
      <c r="K81" s="114">
        <f t="shared" si="12"/>
        <v>54801</v>
      </c>
      <c r="L81" s="114">
        <f>SUM(L69:L80)</f>
        <v>256452.89</v>
      </c>
      <c r="M81" s="9"/>
    </row>
    <row r="82" spans="1:13" s="3" customFormat="1">
      <c r="D82" s="4"/>
      <c r="E82" s="4"/>
      <c r="F82" s="4"/>
      <c r="M82" s="9"/>
    </row>
    <row r="83" spans="1:13" s="3" customFormat="1">
      <c r="D83" s="4"/>
      <c r="E83" s="4"/>
      <c r="F83" s="4"/>
      <c r="M83" s="9"/>
    </row>
    <row r="84" spans="1:13" s="3" customFormat="1">
      <c r="C84" s="248"/>
      <c r="D84" s="4"/>
      <c r="E84" s="4"/>
      <c r="F84" s="4"/>
      <c r="M84" s="9"/>
    </row>
    <row r="85" spans="1:13" s="3" customFormat="1">
      <c r="D85" s="4"/>
      <c r="E85" s="4"/>
      <c r="F85" s="4"/>
      <c r="M85" s="9"/>
    </row>
    <row r="86" spans="1:13" s="3" customFormat="1">
      <c r="D86" s="4"/>
      <c r="E86" s="4"/>
      <c r="F86" s="4"/>
      <c r="M86" s="9"/>
    </row>
    <row r="87" spans="1:13" s="3" customFormat="1">
      <c r="D87" s="4"/>
      <c r="E87" s="4"/>
      <c r="F87" s="4"/>
      <c r="M87" s="9"/>
    </row>
    <row r="88" spans="1:13" s="3" customFormat="1">
      <c r="D88" s="4"/>
      <c r="E88" s="4"/>
      <c r="F88" s="4"/>
      <c r="M88" s="9"/>
    </row>
    <row r="89" spans="1:13" s="3" customFormat="1">
      <c r="D89" s="4"/>
      <c r="E89" s="4"/>
      <c r="F89" s="4"/>
      <c r="M89" s="9"/>
    </row>
    <row r="90" spans="1:13" s="3" customFormat="1">
      <c r="D90" s="4"/>
      <c r="E90" s="4"/>
      <c r="F90" s="4"/>
      <c r="M90" s="9"/>
    </row>
    <row r="91" spans="1:13" s="3" customFormat="1">
      <c r="D91" s="4"/>
      <c r="E91" s="4"/>
      <c r="F91" s="4"/>
      <c r="M91" s="9"/>
    </row>
    <row r="92" spans="1:13" s="3" customFormat="1">
      <c r="D92" s="4"/>
      <c r="E92" s="4"/>
      <c r="F92" s="4"/>
      <c r="M92" s="9"/>
    </row>
    <row r="93" spans="1:13" s="3" customFormat="1">
      <c r="D93" s="4"/>
      <c r="E93" s="4"/>
      <c r="F93" s="4"/>
      <c r="M93" s="9"/>
    </row>
    <row r="94" spans="1:13" s="3" customFormat="1">
      <c r="D94" s="4"/>
      <c r="E94" s="4"/>
      <c r="F94" s="4"/>
      <c r="M94" s="9"/>
    </row>
    <row r="95" spans="1:13" s="3" customFormat="1">
      <c r="D95" s="4"/>
      <c r="E95" s="4"/>
      <c r="F95" s="4"/>
      <c r="M95" s="9"/>
    </row>
    <row r="96" spans="1:13" s="3" customFormat="1">
      <c r="D96" s="4"/>
      <c r="E96" s="4"/>
      <c r="F96" s="4"/>
      <c r="M96" s="9"/>
    </row>
    <row r="97" spans="4:13" s="3" customFormat="1">
      <c r="D97" s="4"/>
      <c r="E97" s="4"/>
      <c r="F97" s="4"/>
      <c r="M97" s="9"/>
    </row>
    <row r="98" spans="4:13" s="3" customFormat="1">
      <c r="D98" s="4"/>
      <c r="E98" s="4"/>
      <c r="F98" s="4"/>
      <c r="M98" s="9"/>
    </row>
    <row r="99" spans="4:13" s="3" customFormat="1">
      <c r="D99" s="4"/>
      <c r="E99" s="4"/>
      <c r="F99" s="4"/>
      <c r="M99" s="9"/>
    </row>
    <row r="100" spans="4:13" s="3" customFormat="1">
      <c r="D100" s="4"/>
      <c r="E100" s="4"/>
      <c r="F100" s="4"/>
      <c r="M100" s="9"/>
    </row>
    <row r="101" spans="4:13" s="3" customFormat="1">
      <c r="D101" s="4"/>
      <c r="E101" s="4"/>
      <c r="F101" s="4"/>
      <c r="M101" s="9"/>
    </row>
    <row r="102" spans="4:13" s="3" customFormat="1">
      <c r="D102" s="4"/>
      <c r="E102" s="4"/>
      <c r="F102" s="4"/>
      <c r="M102" s="9"/>
    </row>
    <row r="103" spans="4:13" s="3" customFormat="1">
      <c r="D103" s="4"/>
      <c r="E103" s="4"/>
      <c r="F103" s="4"/>
      <c r="M103" s="9"/>
    </row>
    <row r="104" spans="4:13" s="3" customFormat="1">
      <c r="D104" s="4"/>
      <c r="E104" s="4"/>
      <c r="F104" s="4"/>
      <c r="M104" s="9"/>
    </row>
    <row r="105" spans="4:13" s="3" customFormat="1">
      <c r="D105" s="4"/>
      <c r="E105" s="4"/>
      <c r="F105" s="4"/>
      <c r="M105" s="9"/>
    </row>
    <row r="106" spans="4:13" s="3" customFormat="1">
      <c r="D106" s="4"/>
      <c r="E106" s="4"/>
      <c r="F106" s="4"/>
      <c r="M106" s="9"/>
    </row>
    <row r="107" spans="4:13" s="3" customFormat="1">
      <c r="D107" s="4"/>
      <c r="E107" s="4"/>
      <c r="F107" s="4"/>
      <c r="M107" s="9"/>
    </row>
    <row r="108" spans="4:13" s="3" customFormat="1">
      <c r="D108" s="4"/>
      <c r="E108" s="4"/>
      <c r="F108" s="4"/>
      <c r="M108" s="9"/>
    </row>
    <row r="109" spans="4:13" s="3" customFormat="1">
      <c r="D109" s="4"/>
      <c r="E109" s="4"/>
      <c r="F109" s="4"/>
      <c r="M109" s="9"/>
    </row>
    <row r="110" spans="4:13" s="3" customFormat="1">
      <c r="D110" s="4"/>
      <c r="E110" s="4"/>
      <c r="F110" s="4"/>
      <c r="M110" s="9"/>
    </row>
    <row r="111" spans="4:13" s="3" customFormat="1">
      <c r="D111" s="4"/>
      <c r="E111" s="4"/>
      <c r="F111" s="4"/>
      <c r="M111" s="9"/>
    </row>
    <row r="112" spans="4:13" s="3" customFormat="1">
      <c r="D112" s="4"/>
      <c r="E112" s="4"/>
      <c r="F112" s="4"/>
      <c r="M112" s="9"/>
    </row>
    <row r="113" spans="4:13" s="3" customFormat="1">
      <c r="D113" s="4"/>
      <c r="E113" s="4"/>
      <c r="F113" s="4"/>
      <c r="M113" s="9"/>
    </row>
    <row r="114" spans="4:13" s="3" customFormat="1">
      <c r="D114" s="4"/>
      <c r="E114" s="4"/>
      <c r="F114" s="4"/>
      <c r="M114" s="9"/>
    </row>
    <row r="115" spans="4:13" s="3" customFormat="1">
      <c r="D115" s="4"/>
      <c r="E115" s="4"/>
      <c r="F115" s="4"/>
      <c r="M115" s="9"/>
    </row>
    <row r="116" spans="4:13" s="3" customFormat="1">
      <c r="D116" s="4"/>
      <c r="E116" s="4"/>
      <c r="F116" s="4"/>
      <c r="M116" s="9"/>
    </row>
    <row r="117" spans="4:13" s="3" customFormat="1">
      <c r="D117" s="4"/>
      <c r="E117" s="4"/>
      <c r="F117" s="4"/>
      <c r="M117" s="9"/>
    </row>
    <row r="118" spans="4:13" s="3" customFormat="1">
      <c r="D118" s="4"/>
      <c r="E118" s="4"/>
      <c r="F118" s="4"/>
      <c r="M118" s="9"/>
    </row>
    <row r="119" spans="4:13" s="3" customFormat="1">
      <c r="D119" s="4"/>
      <c r="E119" s="4"/>
      <c r="F119" s="4"/>
      <c r="M119" s="9"/>
    </row>
    <row r="120" spans="4:13" s="3" customFormat="1">
      <c r="D120" s="4"/>
      <c r="E120" s="4"/>
      <c r="F120" s="4"/>
      <c r="M120" s="9"/>
    </row>
    <row r="121" spans="4:13" s="3" customFormat="1">
      <c r="D121" s="4"/>
      <c r="E121" s="4"/>
      <c r="F121" s="4"/>
      <c r="M121" s="9"/>
    </row>
    <row r="122" spans="4:13" s="3" customFormat="1">
      <c r="D122" s="4"/>
      <c r="E122" s="4"/>
      <c r="F122" s="4"/>
      <c r="M122" s="9"/>
    </row>
    <row r="123" spans="4:13" s="3" customFormat="1">
      <c r="D123" s="4"/>
      <c r="E123" s="4"/>
      <c r="F123" s="4"/>
      <c r="M123" s="9"/>
    </row>
    <row r="124" spans="4:13" s="3" customFormat="1">
      <c r="D124" s="4"/>
      <c r="E124" s="4"/>
      <c r="F124" s="4"/>
      <c r="M124" s="9"/>
    </row>
    <row r="125" spans="4:13" s="3" customFormat="1">
      <c r="D125" s="4"/>
      <c r="E125" s="4"/>
      <c r="F125" s="4"/>
      <c r="M125" s="9"/>
    </row>
    <row r="126" spans="4:13" s="3" customFormat="1">
      <c r="D126" s="4"/>
      <c r="E126" s="4"/>
      <c r="F126" s="4"/>
      <c r="M126" s="9"/>
    </row>
    <row r="127" spans="4:13" s="3" customFormat="1">
      <c r="D127" s="4"/>
      <c r="E127" s="4"/>
      <c r="F127" s="4"/>
      <c r="M127" s="9"/>
    </row>
    <row r="128" spans="4:13" s="3" customFormat="1">
      <c r="D128" s="4"/>
      <c r="E128" s="4"/>
      <c r="F128" s="4"/>
      <c r="M128" s="9"/>
    </row>
    <row r="129" spans="4:13" s="3" customFormat="1">
      <c r="D129" s="4"/>
      <c r="E129" s="4"/>
      <c r="F129" s="4"/>
      <c r="M129" s="9"/>
    </row>
    <row r="130" spans="4:13" s="3" customFormat="1">
      <c r="D130" s="4"/>
      <c r="E130" s="4"/>
      <c r="F130" s="4"/>
      <c r="M130" s="9"/>
    </row>
    <row r="131" spans="4:13" s="3" customFormat="1">
      <c r="D131" s="4"/>
      <c r="E131" s="4"/>
      <c r="F131" s="4"/>
      <c r="M131" s="9"/>
    </row>
    <row r="132" spans="4:13" s="3" customFormat="1">
      <c r="D132" s="4"/>
      <c r="E132" s="4"/>
      <c r="F132" s="4"/>
      <c r="M132" s="9"/>
    </row>
    <row r="133" spans="4:13" s="3" customFormat="1">
      <c r="D133" s="4"/>
      <c r="E133" s="4"/>
      <c r="F133" s="4"/>
      <c r="M133" s="9"/>
    </row>
    <row r="134" spans="4:13" s="3" customFormat="1">
      <c r="D134" s="4"/>
      <c r="E134" s="4"/>
      <c r="F134" s="4"/>
      <c r="M134" s="9"/>
    </row>
    <row r="135" spans="4:13" s="3" customFormat="1">
      <c r="D135" s="4"/>
      <c r="E135" s="4"/>
      <c r="F135" s="4"/>
      <c r="M135" s="9"/>
    </row>
    <row r="136" spans="4:13" s="3" customFormat="1">
      <c r="D136" s="4"/>
      <c r="E136" s="4"/>
      <c r="F136" s="4"/>
      <c r="M136" s="9"/>
    </row>
    <row r="137" spans="4:13" s="3" customFormat="1">
      <c r="D137" s="4"/>
      <c r="E137" s="4"/>
      <c r="F137" s="4"/>
      <c r="M137" s="9"/>
    </row>
    <row r="138" spans="4:13" s="3" customFormat="1">
      <c r="D138" s="4"/>
      <c r="E138" s="4"/>
      <c r="F138" s="4"/>
      <c r="M138" s="9"/>
    </row>
    <row r="139" spans="4:13" s="3" customFormat="1">
      <c r="D139" s="4"/>
      <c r="E139" s="4"/>
      <c r="F139" s="4"/>
      <c r="M139" s="9"/>
    </row>
    <row r="140" spans="4:13" s="3" customFormat="1">
      <c r="D140" s="4"/>
      <c r="E140" s="4"/>
      <c r="F140" s="4"/>
      <c r="M140" s="9"/>
    </row>
    <row r="141" spans="4:13" s="3" customFormat="1">
      <c r="D141" s="4"/>
      <c r="E141" s="4"/>
      <c r="F141" s="4"/>
      <c r="M141" s="9"/>
    </row>
    <row r="142" spans="4:13" s="3" customFormat="1">
      <c r="D142" s="4"/>
      <c r="E142" s="4"/>
      <c r="F142" s="4"/>
      <c r="M142" s="9"/>
    </row>
    <row r="143" spans="4:13" s="3" customFormat="1">
      <c r="D143" s="4"/>
      <c r="E143" s="4"/>
      <c r="F143" s="4"/>
      <c r="M143" s="9"/>
    </row>
    <row r="144" spans="4:13" s="3" customFormat="1">
      <c r="D144" s="4"/>
      <c r="E144" s="4"/>
      <c r="F144" s="4"/>
      <c r="M144" s="9"/>
    </row>
    <row r="145" spans="4:13" s="3" customFormat="1">
      <c r="D145" s="4"/>
      <c r="E145" s="4"/>
      <c r="F145" s="4"/>
      <c r="M145" s="9"/>
    </row>
    <row r="146" spans="4:13" s="3" customFormat="1">
      <c r="D146" s="4"/>
      <c r="E146" s="4"/>
      <c r="F146" s="4"/>
      <c r="M146" s="9"/>
    </row>
    <row r="147" spans="4:13" s="3" customFormat="1">
      <c r="D147" s="4"/>
      <c r="E147" s="4"/>
      <c r="F147" s="4"/>
      <c r="M147" s="9"/>
    </row>
    <row r="148" spans="4:13" s="3" customFormat="1">
      <c r="D148" s="4"/>
      <c r="E148" s="4"/>
      <c r="F148" s="4"/>
      <c r="M148" s="9"/>
    </row>
    <row r="149" spans="4:13" s="3" customFormat="1">
      <c r="D149" s="4"/>
      <c r="E149" s="4"/>
      <c r="F149" s="4"/>
      <c r="M149" s="9"/>
    </row>
    <row r="150" spans="4:13" s="3" customFormat="1">
      <c r="D150" s="4"/>
      <c r="E150" s="4"/>
      <c r="F150" s="4"/>
      <c r="M150" s="9"/>
    </row>
    <row r="151" spans="4:13" s="3" customFormat="1">
      <c r="D151" s="4"/>
      <c r="E151" s="4"/>
      <c r="F151" s="4"/>
      <c r="M151" s="9"/>
    </row>
    <row r="152" spans="4:13" s="3" customFormat="1">
      <c r="D152" s="4"/>
      <c r="E152" s="4"/>
      <c r="F152" s="4"/>
      <c r="M152" s="9"/>
    </row>
    <row r="153" spans="4:13" s="3" customFormat="1">
      <c r="D153" s="4"/>
      <c r="E153" s="4"/>
      <c r="F153" s="4"/>
      <c r="M153" s="9"/>
    </row>
    <row r="154" spans="4:13" s="3" customFormat="1">
      <c r="D154" s="4"/>
      <c r="E154" s="4"/>
      <c r="F154" s="4"/>
      <c r="M154" s="9"/>
    </row>
    <row r="155" spans="4:13" s="3" customFormat="1">
      <c r="D155" s="4"/>
      <c r="E155" s="4"/>
      <c r="F155" s="4"/>
      <c r="M155" s="9"/>
    </row>
    <row r="156" spans="4:13" s="3" customFormat="1">
      <c r="D156" s="4"/>
      <c r="E156" s="4"/>
      <c r="F156" s="4"/>
      <c r="M156" s="9"/>
    </row>
    <row r="157" spans="4:13" s="3" customFormat="1">
      <c r="D157" s="4"/>
      <c r="E157" s="4"/>
      <c r="F157" s="4"/>
      <c r="M157" s="9"/>
    </row>
    <row r="158" spans="4:13" s="3" customFormat="1">
      <c r="D158" s="4"/>
      <c r="E158" s="4"/>
      <c r="F158" s="4"/>
      <c r="M158" s="9"/>
    </row>
    <row r="159" spans="4:13" s="3" customFormat="1">
      <c r="D159" s="4"/>
      <c r="E159" s="4"/>
      <c r="F159" s="4"/>
      <c r="M159" s="9"/>
    </row>
    <row r="160" spans="4:13" s="3" customFormat="1">
      <c r="D160" s="4"/>
      <c r="E160" s="4"/>
      <c r="F160" s="4"/>
      <c r="M160" s="9"/>
    </row>
    <row r="161" spans="4:13" s="3" customFormat="1">
      <c r="D161" s="4"/>
      <c r="E161" s="4"/>
      <c r="F161" s="4"/>
      <c r="M161" s="9"/>
    </row>
    <row r="162" spans="4:13" s="3" customFormat="1">
      <c r="D162" s="4"/>
      <c r="E162" s="4"/>
      <c r="F162" s="4"/>
      <c r="M162" s="9"/>
    </row>
    <row r="163" spans="4:13" s="3" customFormat="1">
      <c r="D163" s="4"/>
      <c r="E163" s="4"/>
      <c r="F163" s="4"/>
      <c r="M163" s="9"/>
    </row>
    <row r="164" spans="4:13" s="3" customFormat="1">
      <c r="D164" s="4"/>
      <c r="E164" s="4"/>
      <c r="F164" s="4"/>
      <c r="M164" s="9"/>
    </row>
    <row r="165" spans="4:13" s="3" customFormat="1">
      <c r="D165" s="4"/>
      <c r="E165" s="4"/>
      <c r="F165" s="4"/>
      <c r="M165" s="9"/>
    </row>
    <row r="166" spans="4:13" s="3" customFormat="1">
      <c r="D166" s="4"/>
      <c r="E166" s="4"/>
      <c r="F166" s="4"/>
      <c r="M166" s="9"/>
    </row>
    <row r="167" spans="4:13" s="3" customFormat="1">
      <c r="D167" s="4"/>
      <c r="E167" s="4"/>
      <c r="F167" s="4"/>
      <c r="M167" s="9"/>
    </row>
    <row r="168" spans="4:13" s="3" customFormat="1">
      <c r="D168" s="4"/>
      <c r="E168" s="4"/>
      <c r="F168" s="4"/>
      <c r="M168" s="9"/>
    </row>
    <row r="169" spans="4:13" s="3" customFormat="1">
      <c r="D169" s="4"/>
      <c r="E169" s="4"/>
      <c r="F169" s="4"/>
      <c r="M169" s="9"/>
    </row>
    <row r="170" spans="4:13" s="3" customFormat="1">
      <c r="D170" s="4"/>
      <c r="E170" s="4"/>
      <c r="F170" s="4"/>
      <c r="M170" s="9"/>
    </row>
    <row r="171" spans="4:13" s="3" customFormat="1">
      <c r="D171" s="4"/>
      <c r="E171" s="4"/>
      <c r="F171" s="4"/>
      <c r="M171" s="9"/>
    </row>
    <row r="172" spans="4:13" s="3" customFormat="1">
      <c r="D172" s="4"/>
      <c r="E172" s="4"/>
      <c r="F172" s="4"/>
      <c r="M172" s="9"/>
    </row>
    <row r="173" spans="4:13" s="3" customFormat="1">
      <c r="D173" s="4"/>
      <c r="E173" s="4"/>
      <c r="F173" s="4"/>
      <c r="M173" s="9"/>
    </row>
    <row r="174" spans="4:13" s="3" customFormat="1">
      <c r="D174" s="4"/>
      <c r="E174" s="4"/>
      <c r="F174" s="4"/>
      <c r="M174" s="9"/>
    </row>
    <row r="175" spans="4:13" s="3" customFormat="1">
      <c r="D175" s="4"/>
      <c r="E175" s="4"/>
      <c r="F175" s="4"/>
      <c r="M175" s="9"/>
    </row>
    <row r="176" spans="4:13" s="3" customFormat="1">
      <c r="D176" s="4"/>
      <c r="E176" s="4"/>
      <c r="F176" s="4"/>
      <c r="M176" s="9"/>
    </row>
    <row r="177" spans="4:13" s="3" customFormat="1">
      <c r="D177" s="4"/>
      <c r="E177" s="4"/>
      <c r="F177" s="4"/>
      <c r="M177" s="9"/>
    </row>
    <row r="178" spans="4:13" s="3" customFormat="1">
      <c r="D178" s="4"/>
      <c r="E178" s="4"/>
      <c r="F178" s="4"/>
      <c r="M178" s="9"/>
    </row>
    <row r="179" spans="4:13" s="3" customFormat="1">
      <c r="D179" s="4"/>
      <c r="E179" s="4"/>
      <c r="F179" s="4"/>
      <c r="M179" s="9"/>
    </row>
    <row r="180" spans="4:13" s="3" customFormat="1">
      <c r="D180" s="4"/>
      <c r="E180" s="4"/>
      <c r="F180" s="4"/>
      <c r="M180" s="9"/>
    </row>
    <row r="181" spans="4:13" s="3" customFormat="1">
      <c r="D181" s="4"/>
      <c r="E181" s="4"/>
      <c r="F181" s="4"/>
      <c r="M181" s="9"/>
    </row>
    <row r="182" spans="4:13" s="3" customFormat="1">
      <c r="D182" s="4"/>
      <c r="E182" s="4"/>
      <c r="F182" s="4"/>
      <c r="M182" s="9"/>
    </row>
    <row r="183" spans="4:13" s="3" customFormat="1">
      <c r="D183" s="4"/>
      <c r="E183" s="4"/>
      <c r="F183" s="4"/>
      <c r="M183" s="9"/>
    </row>
    <row r="184" spans="4:13" s="3" customFormat="1">
      <c r="D184" s="4"/>
      <c r="E184" s="4"/>
      <c r="F184" s="4"/>
      <c r="M184" s="9"/>
    </row>
    <row r="185" spans="4:13" s="3" customFormat="1">
      <c r="D185" s="4"/>
      <c r="E185" s="4"/>
      <c r="F185" s="4"/>
      <c r="M185" s="9"/>
    </row>
    <row r="186" spans="4:13" s="3" customFormat="1">
      <c r="D186" s="4"/>
      <c r="E186" s="4"/>
      <c r="F186" s="4"/>
      <c r="M186" s="9"/>
    </row>
    <row r="187" spans="4:13" s="3" customFormat="1">
      <c r="D187" s="4"/>
      <c r="E187" s="4"/>
      <c r="F187" s="4"/>
      <c r="M187" s="9"/>
    </row>
    <row r="188" spans="4:13" s="3" customFormat="1">
      <c r="D188" s="4"/>
      <c r="E188" s="4"/>
      <c r="F188" s="4"/>
      <c r="M188" s="9"/>
    </row>
    <row r="189" spans="4:13" s="3" customFormat="1">
      <c r="D189" s="4"/>
      <c r="E189" s="4"/>
      <c r="F189" s="4"/>
      <c r="M189" s="9"/>
    </row>
    <row r="190" spans="4:13" s="3" customFormat="1">
      <c r="D190" s="4"/>
      <c r="E190" s="4"/>
      <c r="F190" s="4"/>
      <c r="M190" s="9"/>
    </row>
    <row r="191" spans="4:13" s="3" customFormat="1">
      <c r="D191" s="4"/>
      <c r="E191" s="4"/>
      <c r="F191" s="4"/>
      <c r="M191" s="9"/>
    </row>
    <row r="192" spans="4:13" s="3" customFormat="1">
      <c r="D192" s="4"/>
      <c r="E192" s="4"/>
      <c r="F192" s="4"/>
      <c r="M192" s="9"/>
    </row>
    <row r="193" spans="4:13" s="3" customFormat="1">
      <c r="D193" s="4"/>
      <c r="E193" s="4"/>
      <c r="F193" s="4"/>
      <c r="M193" s="9"/>
    </row>
    <row r="194" spans="4:13" s="3" customFormat="1">
      <c r="D194" s="4"/>
      <c r="E194" s="4"/>
      <c r="F194" s="4"/>
      <c r="M194" s="9"/>
    </row>
    <row r="195" spans="4:13" s="3" customFormat="1">
      <c r="D195" s="4"/>
      <c r="E195" s="4"/>
      <c r="F195" s="4"/>
      <c r="M195" s="9"/>
    </row>
    <row r="196" spans="4:13" s="3" customFormat="1">
      <c r="D196" s="4"/>
      <c r="E196" s="4"/>
      <c r="F196" s="4"/>
      <c r="M196" s="9"/>
    </row>
    <row r="197" spans="4:13" s="3" customFormat="1">
      <c r="D197" s="4"/>
      <c r="E197" s="4"/>
      <c r="F197" s="4"/>
      <c r="M197" s="9"/>
    </row>
    <row r="198" spans="4:13" s="3" customFormat="1">
      <c r="D198" s="4"/>
      <c r="E198" s="4"/>
      <c r="F198" s="4"/>
      <c r="M198" s="9"/>
    </row>
    <row r="199" spans="4:13" s="3" customFormat="1">
      <c r="D199" s="4"/>
      <c r="E199" s="4"/>
      <c r="F199" s="4"/>
      <c r="M199" s="9"/>
    </row>
    <row r="200" spans="4:13" s="3" customFormat="1">
      <c r="D200" s="4"/>
      <c r="E200" s="4"/>
      <c r="F200" s="4"/>
      <c r="M200" s="9"/>
    </row>
    <row r="201" spans="4:13" s="3" customFormat="1">
      <c r="D201" s="4"/>
      <c r="E201" s="4"/>
      <c r="F201" s="4"/>
      <c r="M201" s="9"/>
    </row>
    <row r="202" spans="4:13" s="3" customFormat="1">
      <c r="D202" s="4"/>
      <c r="E202" s="4"/>
      <c r="F202" s="4"/>
      <c r="M202" s="9"/>
    </row>
    <row r="203" spans="4:13" s="3" customFormat="1">
      <c r="D203" s="4"/>
      <c r="E203" s="4"/>
      <c r="F203" s="4"/>
      <c r="M203" s="9"/>
    </row>
    <row r="204" spans="4:13" s="3" customFormat="1">
      <c r="D204" s="4"/>
      <c r="E204" s="4"/>
      <c r="F204" s="4"/>
      <c r="M204" s="9"/>
    </row>
    <row r="205" spans="4:13" s="3" customFormat="1">
      <c r="D205" s="4"/>
      <c r="E205" s="4"/>
      <c r="F205" s="4"/>
      <c r="M205" s="9"/>
    </row>
    <row r="206" spans="4:13" s="3" customFormat="1">
      <c r="D206" s="4"/>
      <c r="E206" s="4"/>
      <c r="F206" s="4"/>
      <c r="M206" s="9"/>
    </row>
  </sheetData>
  <mergeCells count="6">
    <mergeCell ref="A69:A81"/>
    <mergeCell ref="A30:A42"/>
    <mergeCell ref="A17:A29"/>
    <mergeCell ref="A4:A16"/>
    <mergeCell ref="A43:A55"/>
    <mergeCell ref="A56:A68"/>
  </mergeCells>
  <pageMargins left="0.25" right="0.25" top="0.75" bottom="0.75" header="0.3" footer="0.3"/>
  <pageSetup paperSize="9" scale="3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M256"/>
  <sheetViews>
    <sheetView topLeftCell="A7" workbookViewId="0">
      <selection activeCell="B21" sqref="B21"/>
    </sheetView>
  </sheetViews>
  <sheetFormatPr defaultRowHeight="15"/>
  <cols>
    <col min="2" max="2" width="14.140625" customWidth="1"/>
    <col min="3" max="3" width="15.42578125" customWidth="1"/>
    <col min="4" max="4" width="18.140625" customWidth="1"/>
    <col min="7" max="39" width="15.42578125" style="21" customWidth="1"/>
  </cols>
  <sheetData>
    <row r="1" spans="1:39">
      <c r="A1">
        <v>1</v>
      </c>
    </row>
    <row r="2" spans="1:39" ht="21">
      <c r="A2" t="s">
        <v>566</v>
      </c>
      <c r="G2" s="16" t="s">
        <v>170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ht="15" customHeight="1">
      <c r="A3" t="s">
        <v>568</v>
      </c>
      <c r="G3" s="22" t="s">
        <v>192</v>
      </c>
      <c r="H3" s="24"/>
      <c r="I3" s="24"/>
      <c r="J3" s="24"/>
      <c r="K3" s="24"/>
      <c r="L3" s="22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ht="30.75" customHeight="1">
      <c r="A4" t="s">
        <v>567</v>
      </c>
      <c r="G4" s="26" t="s">
        <v>172</v>
      </c>
      <c r="H4" s="26" t="s">
        <v>39</v>
      </c>
      <c r="I4" s="64" t="s">
        <v>173</v>
      </c>
      <c r="J4" s="26" t="s">
        <v>169</v>
      </c>
      <c r="K4" s="25" t="s">
        <v>1</v>
      </c>
      <c r="L4" s="25" t="s">
        <v>0</v>
      </c>
      <c r="M4" s="25" t="s">
        <v>37</v>
      </c>
      <c r="N4" s="25" t="s">
        <v>33</v>
      </c>
      <c r="O4" s="25" t="s">
        <v>21</v>
      </c>
      <c r="P4" s="25" t="s">
        <v>34</v>
      </c>
      <c r="Q4" s="25" t="s">
        <v>22</v>
      </c>
      <c r="R4" s="25" t="s">
        <v>35</v>
      </c>
      <c r="S4" s="25" t="s">
        <v>2</v>
      </c>
      <c r="T4" s="26" t="s">
        <v>0</v>
      </c>
      <c r="U4" s="25" t="s">
        <v>32</v>
      </c>
      <c r="V4" s="25" t="s">
        <v>33</v>
      </c>
      <c r="W4" s="25" t="s">
        <v>21</v>
      </c>
      <c r="X4" s="25" t="s">
        <v>35</v>
      </c>
      <c r="Y4" s="25" t="s">
        <v>38</v>
      </c>
      <c r="Z4" s="25" t="s">
        <v>3</v>
      </c>
      <c r="AA4" s="25" t="s">
        <v>4</v>
      </c>
      <c r="AB4" s="25" t="s">
        <v>179</v>
      </c>
      <c r="AC4" s="25" t="s">
        <v>36</v>
      </c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1:39" ht="20.25" customHeight="1">
      <c r="A5" t="s">
        <v>611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39" ht="15" customHeight="1">
      <c r="A6" t="s">
        <v>610</v>
      </c>
      <c r="G6" s="27" t="s">
        <v>171</v>
      </c>
      <c r="H6" s="27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39" ht="15" customHeight="1">
      <c r="G7" s="24" t="s">
        <v>192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2"/>
      <c r="AF7" s="22"/>
      <c r="AG7" s="22"/>
      <c r="AH7" s="22"/>
      <c r="AI7" s="22"/>
      <c r="AJ7" s="22"/>
      <c r="AK7" s="22"/>
      <c r="AL7" s="22"/>
      <c r="AM7" s="22"/>
    </row>
    <row r="8" spans="1:39" ht="42.75" customHeight="1">
      <c r="G8" s="26" t="s">
        <v>172</v>
      </c>
      <c r="H8" s="26" t="s">
        <v>39</v>
      </c>
      <c r="I8" s="64" t="s">
        <v>183</v>
      </c>
      <c r="J8" s="25" t="s">
        <v>184</v>
      </c>
      <c r="K8" s="25" t="s">
        <v>185</v>
      </c>
      <c r="L8" s="25" t="s">
        <v>10</v>
      </c>
      <c r="M8" s="25" t="s">
        <v>24</v>
      </c>
      <c r="N8" s="25" t="s">
        <v>25</v>
      </c>
      <c r="O8" s="25" t="s">
        <v>11</v>
      </c>
      <c r="P8" s="25" t="s">
        <v>12</v>
      </c>
      <c r="Q8" s="25" t="s">
        <v>13</v>
      </c>
      <c r="R8" s="26" t="s">
        <v>14</v>
      </c>
      <c r="S8" s="25" t="s">
        <v>177</v>
      </c>
      <c r="T8" s="25" t="s">
        <v>176</v>
      </c>
      <c r="U8" s="25" t="s">
        <v>15</v>
      </c>
      <c r="V8" s="25" t="s">
        <v>16</v>
      </c>
      <c r="W8" s="25" t="s">
        <v>17</v>
      </c>
      <c r="X8" s="25" t="s">
        <v>18</v>
      </c>
      <c r="Y8" s="25" t="s">
        <v>174</v>
      </c>
      <c r="Z8" s="25" t="s">
        <v>26</v>
      </c>
      <c r="AA8" s="25" t="s">
        <v>27</v>
      </c>
      <c r="AB8" s="25" t="s">
        <v>28</v>
      </c>
      <c r="AC8" s="25" t="s">
        <v>23</v>
      </c>
      <c r="AD8" s="25" t="s">
        <v>19</v>
      </c>
      <c r="AE8" s="65" t="s">
        <v>182</v>
      </c>
      <c r="AF8" s="65" t="s">
        <v>178</v>
      </c>
      <c r="AG8" s="65" t="s">
        <v>20</v>
      </c>
      <c r="AH8" s="25" t="s">
        <v>29</v>
      </c>
      <c r="AI8" s="25" t="s">
        <v>180</v>
      </c>
      <c r="AJ8" s="25" t="s">
        <v>31</v>
      </c>
      <c r="AK8" s="65" t="s">
        <v>181</v>
      </c>
      <c r="AL8" s="25" t="s">
        <v>168</v>
      </c>
      <c r="AM8" s="25" t="s">
        <v>30</v>
      </c>
    </row>
    <row r="9" spans="1:39">
      <c r="B9" s="13" t="s">
        <v>566</v>
      </c>
      <c r="C9" s="13" t="s">
        <v>568</v>
      </c>
      <c r="D9" s="13" t="s">
        <v>567</v>
      </c>
    </row>
    <row r="10" spans="1:39">
      <c r="B10" s="5" t="s">
        <v>40</v>
      </c>
      <c r="C10" s="8" t="s">
        <v>248</v>
      </c>
      <c r="D10" s="5" t="s">
        <v>434</v>
      </c>
      <c r="E10" s="14"/>
    </row>
    <row r="11" spans="1:39" ht="21">
      <c r="B11" s="5" t="s">
        <v>41</v>
      </c>
      <c r="C11" s="5" t="s">
        <v>249</v>
      </c>
      <c r="D11" s="5" t="s">
        <v>435</v>
      </c>
      <c r="E11" s="14"/>
      <c r="G11" s="18" t="s">
        <v>231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39" ht="50.25" customHeight="1">
      <c r="B12" s="5" t="s">
        <v>42</v>
      </c>
      <c r="C12" s="5" t="s">
        <v>250</v>
      </c>
      <c r="D12" s="5" t="s">
        <v>436</v>
      </c>
      <c r="E12" s="14"/>
      <c r="G12" s="28" t="s">
        <v>197</v>
      </c>
      <c r="H12" s="31"/>
      <c r="I12" s="31"/>
      <c r="J12" s="32"/>
      <c r="K12" s="31"/>
      <c r="L12" s="28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ht="15" customHeight="1">
      <c r="B13" s="5" t="s">
        <v>43</v>
      </c>
      <c r="C13" s="5" t="s">
        <v>251</v>
      </c>
      <c r="D13" s="5" t="s">
        <v>251</v>
      </c>
      <c r="E13" s="14"/>
      <c r="G13" s="40" t="s">
        <v>198</v>
      </c>
      <c r="H13" s="40" t="s">
        <v>199</v>
      </c>
      <c r="I13" s="63" t="s">
        <v>232</v>
      </c>
      <c r="J13" s="40" t="s">
        <v>234</v>
      </c>
      <c r="K13" s="34" t="s">
        <v>235</v>
      </c>
      <c r="L13" s="34" t="s">
        <v>241</v>
      </c>
      <c r="M13" s="34" t="s">
        <v>242</v>
      </c>
      <c r="N13" s="34" t="s">
        <v>243</v>
      </c>
      <c r="O13" s="34" t="s">
        <v>244</v>
      </c>
      <c r="P13" s="34" t="s">
        <v>246</v>
      </c>
      <c r="Q13" s="34" t="s">
        <v>247</v>
      </c>
      <c r="R13" s="34" t="s">
        <v>245</v>
      </c>
      <c r="S13" s="34" t="s">
        <v>236</v>
      </c>
      <c r="T13" s="40" t="s">
        <v>241</v>
      </c>
      <c r="U13" s="34" t="s">
        <v>242</v>
      </c>
      <c r="V13" s="34" t="s">
        <v>243</v>
      </c>
      <c r="W13" s="34" t="s">
        <v>244</v>
      </c>
      <c r="X13" s="34" t="s">
        <v>245</v>
      </c>
      <c r="Y13" s="34" t="s">
        <v>233</v>
      </c>
      <c r="Z13" s="34" t="s">
        <v>237</v>
      </c>
      <c r="AA13" s="34" t="s">
        <v>238</v>
      </c>
      <c r="AB13" s="34" t="s">
        <v>239</v>
      </c>
      <c r="AC13" s="34" t="s">
        <v>240</v>
      </c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1:39" ht="15" customHeight="1">
      <c r="B14" s="5" t="s">
        <v>44</v>
      </c>
      <c r="C14" s="5" t="s">
        <v>44</v>
      </c>
      <c r="D14" s="5" t="s">
        <v>437</v>
      </c>
      <c r="E14" s="1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1:39" ht="20.25" customHeight="1">
      <c r="B15" s="5" t="s">
        <v>45</v>
      </c>
      <c r="C15" s="7" t="s">
        <v>252</v>
      </c>
      <c r="D15" s="5" t="s">
        <v>438</v>
      </c>
      <c r="E15" s="1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39" ht="15" customHeight="1">
      <c r="B16" s="5" t="s">
        <v>46</v>
      </c>
      <c r="C16" s="5" t="s">
        <v>253</v>
      </c>
      <c r="D16" s="5" t="s">
        <v>439</v>
      </c>
      <c r="E16" s="14"/>
      <c r="G16" s="41" t="s">
        <v>196</v>
      </c>
      <c r="H16" s="41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2:39">
      <c r="B17" s="5" t="s">
        <v>47</v>
      </c>
      <c r="C17" s="5" t="s">
        <v>254</v>
      </c>
      <c r="D17" s="5" t="s">
        <v>440</v>
      </c>
      <c r="E17" s="14"/>
      <c r="G17" s="30" t="s">
        <v>197</v>
      </c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2:39" ht="60">
      <c r="B18" s="5" t="s">
        <v>48</v>
      </c>
      <c r="C18" s="5" t="s">
        <v>255</v>
      </c>
      <c r="D18" s="5" t="s">
        <v>441</v>
      </c>
      <c r="E18" s="14"/>
      <c r="G18" s="35" t="s">
        <v>198</v>
      </c>
      <c r="H18" s="35" t="s">
        <v>199</v>
      </c>
      <c r="I18" s="33" t="s">
        <v>200</v>
      </c>
      <c r="J18" s="36" t="s">
        <v>201</v>
      </c>
      <c r="K18" s="36" t="s">
        <v>203</v>
      </c>
      <c r="L18" s="36" t="s">
        <v>207</v>
      </c>
      <c r="M18" s="39" t="s">
        <v>221</v>
      </c>
      <c r="N18" s="39" t="s">
        <v>222</v>
      </c>
      <c r="O18" s="39" t="s">
        <v>223</v>
      </c>
      <c r="P18" s="39" t="s">
        <v>224</v>
      </c>
      <c r="Q18" s="36" t="s">
        <v>208</v>
      </c>
      <c r="R18" s="42" t="s">
        <v>225</v>
      </c>
      <c r="S18" s="37" t="s">
        <v>229</v>
      </c>
      <c r="T18" s="38" t="s">
        <v>230</v>
      </c>
      <c r="U18" s="39" t="s">
        <v>226</v>
      </c>
      <c r="V18" s="39" t="s">
        <v>227</v>
      </c>
      <c r="W18" s="39" t="s">
        <v>228</v>
      </c>
      <c r="X18" s="36" t="s">
        <v>209</v>
      </c>
      <c r="Y18" s="36" t="s">
        <v>204</v>
      </c>
      <c r="Z18" s="36" t="s">
        <v>210</v>
      </c>
      <c r="AA18" s="36" t="s">
        <v>211</v>
      </c>
      <c r="AB18" s="36" t="s">
        <v>212</v>
      </c>
      <c r="AC18" s="36" t="s">
        <v>213</v>
      </c>
      <c r="AD18" s="36" t="s">
        <v>214</v>
      </c>
      <c r="AE18" s="43" t="s">
        <v>202</v>
      </c>
      <c r="AF18" s="43" t="s">
        <v>205</v>
      </c>
      <c r="AG18" s="43" t="s">
        <v>215</v>
      </c>
      <c r="AH18" s="36" t="s">
        <v>216</v>
      </c>
      <c r="AI18" s="36" t="s">
        <v>217</v>
      </c>
      <c r="AJ18" s="36" t="s">
        <v>218</v>
      </c>
      <c r="AK18" s="43" t="s">
        <v>206</v>
      </c>
      <c r="AL18" s="36" t="s">
        <v>219</v>
      </c>
      <c r="AM18" s="36" t="s">
        <v>220</v>
      </c>
    </row>
    <row r="19" spans="2:39">
      <c r="B19" s="5" t="s">
        <v>49</v>
      </c>
      <c r="C19" s="5" t="s">
        <v>256</v>
      </c>
      <c r="D19" s="5" t="s">
        <v>442</v>
      </c>
      <c r="E19" s="14"/>
    </row>
    <row r="20" spans="2:39">
      <c r="B20" s="5" t="s">
        <v>50</v>
      </c>
      <c r="C20" s="5" t="s">
        <v>257</v>
      </c>
      <c r="D20" s="5" t="s">
        <v>443</v>
      </c>
      <c r="E20" s="14"/>
    </row>
    <row r="21" spans="2:39" ht="21">
      <c r="B21" s="5" t="s">
        <v>175</v>
      </c>
      <c r="C21" s="5" t="s">
        <v>258</v>
      </c>
      <c r="D21" s="5" t="s">
        <v>444</v>
      </c>
      <c r="E21" s="14"/>
      <c r="G21" s="20" t="s">
        <v>380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5"/>
      <c r="AE21" s="45"/>
      <c r="AF21" s="45"/>
      <c r="AG21" s="45"/>
      <c r="AH21" s="45"/>
      <c r="AI21" s="45"/>
      <c r="AJ21" s="45"/>
      <c r="AK21" s="45"/>
      <c r="AL21" s="45"/>
      <c r="AM21" s="45"/>
    </row>
    <row r="22" spans="2:39" ht="42.75" customHeight="1">
      <c r="B22" s="6" t="s">
        <v>9</v>
      </c>
      <c r="C22" s="6" t="s">
        <v>259</v>
      </c>
      <c r="D22" s="6" t="s">
        <v>445</v>
      </c>
      <c r="E22" s="15"/>
      <c r="G22" s="44" t="s">
        <v>381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2:39" ht="15" customHeight="1">
      <c r="B23" s="5" t="s">
        <v>51</v>
      </c>
      <c r="C23" s="5" t="s">
        <v>260</v>
      </c>
      <c r="D23" s="5" t="s">
        <v>446</v>
      </c>
      <c r="E23" s="14"/>
      <c r="G23" s="51" t="s">
        <v>382</v>
      </c>
      <c r="H23" s="49" t="s">
        <v>383</v>
      </c>
      <c r="I23" s="52" t="s">
        <v>384</v>
      </c>
      <c r="J23" s="46" t="s">
        <v>386</v>
      </c>
      <c r="K23" s="53" t="s">
        <v>387</v>
      </c>
      <c r="L23" s="51" t="s">
        <v>393</v>
      </c>
      <c r="M23" s="51" t="s">
        <v>394</v>
      </c>
      <c r="N23" s="51" t="s">
        <v>395</v>
      </c>
      <c r="O23" s="54" t="s">
        <v>396</v>
      </c>
      <c r="P23" s="51" t="s">
        <v>398</v>
      </c>
      <c r="Q23" s="50" t="s">
        <v>399</v>
      </c>
      <c r="R23" s="55" t="s">
        <v>397</v>
      </c>
      <c r="S23" s="48" t="s">
        <v>388</v>
      </c>
      <c r="T23" s="55" t="s">
        <v>393</v>
      </c>
      <c r="U23" s="55" t="s">
        <v>394</v>
      </c>
      <c r="V23" s="55" t="s">
        <v>395</v>
      </c>
      <c r="W23" s="55" t="s">
        <v>396</v>
      </c>
      <c r="X23" s="56" t="s">
        <v>397</v>
      </c>
      <c r="Y23" s="48" t="s">
        <v>385</v>
      </c>
      <c r="Z23" s="51" t="s">
        <v>389</v>
      </c>
      <c r="AA23" s="51" t="s">
        <v>390</v>
      </c>
      <c r="AB23" s="51" t="s">
        <v>391</v>
      </c>
      <c r="AC23" s="51" t="s">
        <v>392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</row>
    <row r="24" spans="2:39" ht="15" customHeight="1">
      <c r="B24" s="5" t="s">
        <v>52</v>
      </c>
      <c r="C24" s="5" t="s">
        <v>261</v>
      </c>
      <c r="D24" s="5" t="s">
        <v>447</v>
      </c>
      <c r="E24" s="14"/>
      <c r="G24" s="47"/>
      <c r="H24" s="47"/>
      <c r="I24" s="6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5"/>
      <c r="AE24" s="45"/>
      <c r="AF24" s="45"/>
      <c r="AG24" s="45"/>
      <c r="AH24" s="45"/>
      <c r="AI24" s="45"/>
      <c r="AJ24" s="45"/>
      <c r="AK24" s="45"/>
      <c r="AL24" s="45"/>
      <c r="AM24" s="45"/>
    </row>
    <row r="25" spans="2:39" ht="15" customHeight="1">
      <c r="B25" s="5" t="s">
        <v>53</v>
      </c>
      <c r="C25" s="5" t="s">
        <v>262</v>
      </c>
      <c r="D25" s="5" t="s">
        <v>448</v>
      </c>
      <c r="E25" s="1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</row>
    <row r="26" spans="2:39" ht="21">
      <c r="B26" s="5" t="s">
        <v>54</v>
      </c>
      <c r="C26" s="5" t="s">
        <v>263</v>
      </c>
      <c r="D26" s="5" t="s">
        <v>263</v>
      </c>
      <c r="E26" s="14"/>
      <c r="G26" s="57" t="s">
        <v>400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</row>
    <row r="27" spans="2:39">
      <c r="B27" s="5" t="s">
        <v>55</v>
      </c>
      <c r="C27" s="5" t="s">
        <v>55</v>
      </c>
      <c r="D27" s="5" t="s">
        <v>449</v>
      </c>
      <c r="E27" s="14"/>
      <c r="G27" s="58" t="s">
        <v>401</v>
      </c>
      <c r="H27" s="5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2:39" ht="60">
      <c r="B28" s="5" t="s">
        <v>56</v>
      </c>
      <c r="C28" s="5" t="s">
        <v>264</v>
      </c>
      <c r="D28" s="5" t="s">
        <v>450</v>
      </c>
      <c r="E28" s="14"/>
      <c r="G28" s="60" t="s">
        <v>382</v>
      </c>
      <c r="H28" s="60" t="s">
        <v>402</v>
      </c>
      <c r="I28" s="61" t="s">
        <v>403</v>
      </c>
      <c r="J28" s="51" t="s">
        <v>404</v>
      </c>
      <c r="K28" s="51" t="s">
        <v>406</v>
      </c>
      <c r="L28" s="51" t="s">
        <v>410</v>
      </c>
      <c r="M28" s="51" t="s">
        <v>424</v>
      </c>
      <c r="N28" s="51" t="s">
        <v>425</v>
      </c>
      <c r="O28" s="51" t="s">
        <v>426</v>
      </c>
      <c r="P28" s="51" t="s">
        <v>427</v>
      </c>
      <c r="Q28" s="51" t="s">
        <v>411</v>
      </c>
      <c r="R28" s="60" t="s">
        <v>428</v>
      </c>
      <c r="S28" s="51" t="s">
        <v>432</v>
      </c>
      <c r="T28" s="60" t="s">
        <v>433</v>
      </c>
      <c r="U28" s="51" t="s">
        <v>429</v>
      </c>
      <c r="V28" s="51" t="s">
        <v>430</v>
      </c>
      <c r="W28" s="51" t="s">
        <v>431</v>
      </c>
      <c r="X28" s="51" t="s">
        <v>412</v>
      </c>
      <c r="Y28" s="51" t="s">
        <v>407</v>
      </c>
      <c r="Z28" s="51" t="s">
        <v>413</v>
      </c>
      <c r="AA28" s="51" t="s">
        <v>414</v>
      </c>
      <c r="AB28" s="51" t="s">
        <v>415</v>
      </c>
      <c r="AC28" s="51" t="s">
        <v>416</v>
      </c>
      <c r="AD28" s="51" t="s">
        <v>417</v>
      </c>
      <c r="AE28" s="62" t="s">
        <v>405</v>
      </c>
      <c r="AF28" s="62" t="s">
        <v>408</v>
      </c>
      <c r="AG28" s="62" t="s">
        <v>418</v>
      </c>
      <c r="AH28" s="51" t="s">
        <v>419</v>
      </c>
      <c r="AI28" s="51" t="s">
        <v>420</v>
      </c>
      <c r="AJ28" s="51" t="s">
        <v>421</v>
      </c>
      <c r="AK28" s="62" t="s">
        <v>409</v>
      </c>
      <c r="AL28" s="51" t="s">
        <v>422</v>
      </c>
      <c r="AM28" s="51" t="s">
        <v>423</v>
      </c>
    </row>
    <row r="29" spans="2:39">
      <c r="B29" s="5" t="s">
        <v>57</v>
      </c>
      <c r="C29" s="5" t="s">
        <v>265</v>
      </c>
      <c r="D29" s="5" t="s">
        <v>451</v>
      </c>
      <c r="E29" s="14"/>
    </row>
    <row r="30" spans="2:39">
      <c r="B30" s="5" t="s">
        <v>58</v>
      </c>
      <c r="C30" s="5" t="s">
        <v>266</v>
      </c>
      <c r="D30" s="5" t="s">
        <v>452</v>
      </c>
      <c r="E30" s="14"/>
    </row>
    <row r="31" spans="2:39">
      <c r="B31" s="5" t="s">
        <v>59</v>
      </c>
      <c r="C31" s="5" t="s">
        <v>267</v>
      </c>
      <c r="D31" s="5" t="s">
        <v>453</v>
      </c>
      <c r="E31" s="14"/>
    </row>
    <row r="32" spans="2:39" ht="15" customHeight="1">
      <c r="B32" s="5" t="s">
        <v>60</v>
      </c>
      <c r="C32" s="5" t="s">
        <v>268</v>
      </c>
      <c r="D32" s="5" t="s">
        <v>454</v>
      </c>
      <c r="E32" s="14"/>
    </row>
    <row r="33" spans="2:7" ht="15" customHeight="1">
      <c r="B33" s="5" t="s">
        <v>61</v>
      </c>
      <c r="C33" s="5" t="s">
        <v>269</v>
      </c>
      <c r="D33" s="5" t="s">
        <v>455</v>
      </c>
      <c r="E33" s="14"/>
    </row>
    <row r="34" spans="2:7" ht="15" customHeight="1">
      <c r="B34" s="5" t="s">
        <v>62</v>
      </c>
      <c r="C34" s="5" t="s">
        <v>270</v>
      </c>
      <c r="D34" s="5" t="s">
        <v>456</v>
      </c>
      <c r="E34" s="14"/>
    </row>
    <row r="35" spans="2:7" ht="15" customHeight="1">
      <c r="B35" s="6" t="s">
        <v>8</v>
      </c>
      <c r="C35" s="6" t="s">
        <v>271</v>
      </c>
      <c r="D35" s="6" t="s">
        <v>457</v>
      </c>
      <c r="E35" s="15"/>
      <c r="G35"/>
    </row>
    <row r="36" spans="2:7">
      <c r="B36" s="5" t="s">
        <v>63</v>
      </c>
      <c r="C36" s="5" t="s">
        <v>272</v>
      </c>
      <c r="D36" s="5" t="s">
        <v>458</v>
      </c>
      <c r="E36" s="14"/>
    </row>
    <row r="37" spans="2:7">
      <c r="B37" s="5" t="s">
        <v>64</v>
      </c>
      <c r="C37" s="5" t="s">
        <v>273</v>
      </c>
      <c r="D37" s="5" t="s">
        <v>459</v>
      </c>
      <c r="E37" s="14"/>
    </row>
    <row r="38" spans="2:7">
      <c r="B38" s="5" t="s">
        <v>65</v>
      </c>
      <c r="C38" s="5" t="s">
        <v>274</v>
      </c>
      <c r="D38" s="5" t="s">
        <v>460</v>
      </c>
      <c r="E38" s="14"/>
    </row>
    <row r="39" spans="2:7">
      <c r="B39" s="5" t="s">
        <v>66</v>
      </c>
      <c r="C39" s="5" t="s">
        <v>275</v>
      </c>
      <c r="D39" s="5" t="s">
        <v>275</v>
      </c>
      <c r="E39" s="14"/>
    </row>
    <row r="40" spans="2:7">
      <c r="B40" s="5" t="s">
        <v>67</v>
      </c>
      <c r="C40" s="5" t="s">
        <v>67</v>
      </c>
      <c r="D40" s="5" t="s">
        <v>461</v>
      </c>
      <c r="E40" s="14"/>
    </row>
    <row r="41" spans="2:7" ht="34.5" customHeight="1">
      <c r="B41" s="5" t="s">
        <v>68</v>
      </c>
      <c r="C41" s="5" t="s">
        <v>276</v>
      </c>
      <c r="D41" s="5" t="s">
        <v>462</v>
      </c>
      <c r="E41" s="14"/>
    </row>
    <row r="42" spans="2:7" ht="15" customHeight="1">
      <c r="B42" s="5" t="s">
        <v>69</v>
      </c>
      <c r="C42" s="5" t="s">
        <v>277</v>
      </c>
      <c r="D42" s="5" t="s">
        <v>463</v>
      </c>
      <c r="E42" s="14"/>
    </row>
    <row r="43" spans="2:7" ht="15" customHeight="1">
      <c r="B43" s="5" t="s">
        <v>70</v>
      </c>
      <c r="C43" s="5" t="s">
        <v>278</v>
      </c>
      <c r="D43" s="5" t="s">
        <v>464</v>
      </c>
      <c r="E43" s="14"/>
    </row>
    <row r="44" spans="2:7" ht="15" customHeight="1">
      <c r="B44" s="5" t="s">
        <v>71</v>
      </c>
      <c r="C44" s="5" t="s">
        <v>279</v>
      </c>
      <c r="D44" s="5" t="s">
        <v>465</v>
      </c>
      <c r="E44" s="14"/>
    </row>
    <row r="45" spans="2:7" ht="47.25" customHeight="1">
      <c r="B45" s="5" t="s">
        <v>72</v>
      </c>
      <c r="C45" s="5" t="s">
        <v>280</v>
      </c>
      <c r="D45" s="5" t="s">
        <v>466</v>
      </c>
      <c r="E45" s="14"/>
    </row>
    <row r="46" spans="2:7">
      <c r="B46" s="5" t="s">
        <v>73</v>
      </c>
      <c r="C46" s="5" t="s">
        <v>281</v>
      </c>
      <c r="D46" s="5" t="s">
        <v>467</v>
      </c>
      <c r="E46" s="14"/>
    </row>
    <row r="47" spans="2:7">
      <c r="B47" s="5" t="s">
        <v>74</v>
      </c>
      <c r="C47" s="5" t="s">
        <v>282</v>
      </c>
      <c r="D47" s="5" t="s">
        <v>468</v>
      </c>
      <c r="E47" s="14"/>
    </row>
    <row r="48" spans="2:7">
      <c r="B48" s="6" t="s">
        <v>7</v>
      </c>
      <c r="C48" s="6" t="s">
        <v>283</v>
      </c>
      <c r="D48" s="6" t="s">
        <v>469</v>
      </c>
      <c r="E48" s="15"/>
    </row>
    <row r="49" spans="2:5" ht="42.75" customHeight="1">
      <c r="B49" s="5" t="s">
        <v>75</v>
      </c>
      <c r="C49" s="5" t="s">
        <v>284</v>
      </c>
      <c r="D49" s="5" t="s">
        <v>470</v>
      </c>
      <c r="E49" s="14"/>
    </row>
    <row r="50" spans="2:5" ht="15" customHeight="1">
      <c r="B50" s="5" t="s">
        <v>76</v>
      </c>
      <c r="C50" s="5" t="s">
        <v>285</v>
      </c>
      <c r="D50" s="5" t="s">
        <v>471</v>
      </c>
      <c r="E50" s="14"/>
    </row>
    <row r="51" spans="2:5" ht="15" customHeight="1">
      <c r="B51" s="5" t="s">
        <v>77</v>
      </c>
      <c r="C51" s="5" t="s">
        <v>286</v>
      </c>
      <c r="D51" s="5" t="s">
        <v>472</v>
      </c>
      <c r="E51" s="14"/>
    </row>
    <row r="52" spans="2:5" ht="15" customHeight="1">
      <c r="B52" s="5" t="s">
        <v>78</v>
      </c>
      <c r="C52" s="5" t="s">
        <v>287</v>
      </c>
      <c r="D52" s="5" t="s">
        <v>287</v>
      </c>
      <c r="E52" s="14"/>
    </row>
    <row r="53" spans="2:5" ht="15" customHeight="1">
      <c r="B53" s="5" t="s">
        <v>79</v>
      </c>
      <c r="C53" s="5" t="s">
        <v>79</v>
      </c>
      <c r="D53" s="5" t="s">
        <v>473</v>
      </c>
      <c r="E53" s="14"/>
    </row>
    <row r="54" spans="2:5" ht="22.5" customHeight="1">
      <c r="B54" s="5" t="s">
        <v>80</v>
      </c>
      <c r="C54" s="5" t="s">
        <v>288</v>
      </c>
      <c r="D54" s="5" t="s">
        <v>474</v>
      </c>
      <c r="E54" s="14"/>
    </row>
    <row r="55" spans="2:5">
      <c r="B55" s="5" t="s">
        <v>81</v>
      </c>
      <c r="C55" s="5" t="s">
        <v>289</v>
      </c>
      <c r="D55" s="5" t="s">
        <v>475</v>
      </c>
      <c r="E55" s="14"/>
    </row>
    <row r="56" spans="2:5">
      <c r="B56" s="5" t="s">
        <v>82</v>
      </c>
      <c r="C56" s="5" t="s">
        <v>290</v>
      </c>
      <c r="D56" s="5" t="s">
        <v>476</v>
      </c>
      <c r="E56" s="14"/>
    </row>
    <row r="57" spans="2:5">
      <c r="B57" s="5" t="s">
        <v>83</v>
      </c>
      <c r="C57" s="5" t="s">
        <v>291</v>
      </c>
      <c r="D57" s="5" t="s">
        <v>477</v>
      </c>
      <c r="E57" s="14"/>
    </row>
    <row r="58" spans="2:5">
      <c r="B58" s="5" t="s">
        <v>84</v>
      </c>
      <c r="C58" s="5" t="s">
        <v>292</v>
      </c>
      <c r="D58" s="5" t="s">
        <v>478</v>
      </c>
      <c r="E58" s="14"/>
    </row>
    <row r="59" spans="2:5">
      <c r="B59" s="5" t="s">
        <v>85</v>
      </c>
      <c r="C59" s="5" t="s">
        <v>293</v>
      </c>
      <c r="D59" s="5" t="s">
        <v>479</v>
      </c>
      <c r="E59" s="14"/>
    </row>
    <row r="60" spans="2:5">
      <c r="B60" s="5" t="s">
        <v>86</v>
      </c>
      <c r="C60" s="5" t="s">
        <v>294</v>
      </c>
      <c r="D60" s="5" t="s">
        <v>480</v>
      </c>
      <c r="E60" s="14"/>
    </row>
    <row r="61" spans="2:5">
      <c r="B61" s="6" t="s">
        <v>6</v>
      </c>
      <c r="C61" s="6" t="s">
        <v>295</v>
      </c>
      <c r="D61" s="6" t="s">
        <v>481</v>
      </c>
      <c r="E61" s="15"/>
    </row>
    <row r="62" spans="2:5">
      <c r="B62" s="5" t="s">
        <v>87</v>
      </c>
      <c r="C62" s="5" t="s">
        <v>296</v>
      </c>
      <c r="D62" s="5" t="s">
        <v>482</v>
      </c>
      <c r="E62" s="14"/>
    </row>
    <row r="63" spans="2:5">
      <c r="B63" s="5" t="s">
        <v>88</v>
      </c>
      <c r="C63" s="5" t="s">
        <v>297</v>
      </c>
      <c r="D63" s="5" t="s">
        <v>483</v>
      </c>
      <c r="E63" s="14"/>
    </row>
    <row r="64" spans="2:5">
      <c r="B64" s="5" t="s">
        <v>89</v>
      </c>
      <c r="C64" s="5" t="s">
        <v>298</v>
      </c>
      <c r="D64" s="5" t="s">
        <v>484</v>
      </c>
      <c r="E64" s="14"/>
    </row>
    <row r="65" spans="2:5">
      <c r="B65" s="5" t="s">
        <v>90</v>
      </c>
      <c r="C65" s="5" t="s">
        <v>299</v>
      </c>
      <c r="D65" s="5" t="s">
        <v>299</v>
      </c>
      <c r="E65" s="14"/>
    </row>
    <row r="66" spans="2:5">
      <c r="B66" s="5" t="s">
        <v>91</v>
      </c>
      <c r="C66" s="5" t="s">
        <v>91</v>
      </c>
      <c r="D66" s="5" t="s">
        <v>485</v>
      </c>
      <c r="E66" s="14"/>
    </row>
    <row r="67" spans="2:5">
      <c r="B67" s="5" t="s">
        <v>92</v>
      </c>
      <c r="C67" s="5" t="s">
        <v>300</v>
      </c>
      <c r="D67" s="5" t="s">
        <v>486</v>
      </c>
      <c r="E67" s="14"/>
    </row>
    <row r="68" spans="2:5">
      <c r="B68" s="5" t="s">
        <v>93</v>
      </c>
      <c r="C68" s="5" t="s">
        <v>301</v>
      </c>
      <c r="D68" s="5" t="s">
        <v>487</v>
      </c>
      <c r="E68" s="14"/>
    </row>
    <row r="69" spans="2:5">
      <c r="B69" s="5" t="s">
        <v>94</v>
      </c>
      <c r="C69" s="5" t="s">
        <v>302</v>
      </c>
      <c r="D69" s="5" t="s">
        <v>488</v>
      </c>
      <c r="E69" s="14"/>
    </row>
    <row r="70" spans="2:5">
      <c r="B70" s="5" t="s">
        <v>95</v>
      </c>
      <c r="C70" s="5" t="s">
        <v>303</v>
      </c>
      <c r="D70" s="5" t="s">
        <v>489</v>
      </c>
      <c r="E70" s="14"/>
    </row>
    <row r="71" spans="2:5">
      <c r="B71" s="5" t="s">
        <v>96</v>
      </c>
      <c r="C71" s="5" t="s">
        <v>304</v>
      </c>
      <c r="D71" s="5" t="s">
        <v>490</v>
      </c>
      <c r="E71" s="14"/>
    </row>
    <row r="72" spans="2:5">
      <c r="B72" s="5" t="s">
        <v>97</v>
      </c>
      <c r="C72" s="5" t="s">
        <v>305</v>
      </c>
      <c r="D72" s="5" t="s">
        <v>491</v>
      </c>
      <c r="E72" s="14"/>
    </row>
    <row r="73" spans="2:5">
      <c r="B73" s="5" t="s">
        <v>98</v>
      </c>
      <c r="C73" s="5" t="s">
        <v>306</v>
      </c>
      <c r="D73" s="5" t="s">
        <v>492</v>
      </c>
      <c r="E73" s="14"/>
    </row>
    <row r="74" spans="2:5">
      <c r="B74" s="6" t="s">
        <v>5</v>
      </c>
      <c r="C74" s="6" t="s">
        <v>307</v>
      </c>
      <c r="D74" s="6" t="s">
        <v>493</v>
      </c>
      <c r="E74" s="15"/>
    </row>
    <row r="75" spans="2:5">
      <c r="B75" s="5" t="s">
        <v>99</v>
      </c>
      <c r="C75" s="5" t="s">
        <v>308</v>
      </c>
      <c r="D75" s="5" t="s">
        <v>494</v>
      </c>
      <c r="E75" s="14"/>
    </row>
    <row r="76" spans="2:5">
      <c r="B76" s="5" t="s">
        <v>100</v>
      </c>
      <c r="C76" s="5" t="s">
        <v>309</v>
      </c>
      <c r="D76" s="5" t="s">
        <v>495</v>
      </c>
      <c r="E76" s="14"/>
    </row>
    <row r="77" spans="2:5">
      <c r="B77" s="5" t="s">
        <v>101</v>
      </c>
      <c r="C77" s="5" t="s">
        <v>310</v>
      </c>
      <c r="D77" s="5" t="s">
        <v>496</v>
      </c>
      <c r="E77" s="14"/>
    </row>
    <row r="78" spans="2:5">
      <c r="B78" s="5" t="s">
        <v>102</v>
      </c>
      <c r="C78" s="5" t="s">
        <v>311</v>
      </c>
      <c r="D78" s="5" t="s">
        <v>311</v>
      </c>
      <c r="E78" s="14"/>
    </row>
    <row r="79" spans="2:5">
      <c r="B79" s="5" t="s">
        <v>103</v>
      </c>
      <c r="C79" s="5" t="s">
        <v>103</v>
      </c>
      <c r="D79" s="5" t="s">
        <v>497</v>
      </c>
      <c r="E79" s="14"/>
    </row>
    <row r="80" spans="2:5">
      <c r="B80" s="5" t="s">
        <v>104</v>
      </c>
      <c r="C80" s="5" t="s">
        <v>312</v>
      </c>
      <c r="D80" s="5" t="s">
        <v>498</v>
      </c>
      <c r="E80" s="14"/>
    </row>
    <row r="81" spans="2:5">
      <c r="B81" s="5" t="s">
        <v>105</v>
      </c>
      <c r="C81" s="5" t="s">
        <v>313</v>
      </c>
      <c r="D81" s="5" t="s">
        <v>499</v>
      </c>
      <c r="E81" s="14"/>
    </row>
    <row r="82" spans="2:5">
      <c r="B82" s="5" t="s">
        <v>106</v>
      </c>
      <c r="C82" s="5" t="s">
        <v>314</v>
      </c>
      <c r="D82" s="5" t="s">
        <v>500</v>
      </c>
      <c r="E82" s="14"/>
    </row>
    <row r="83" spans="2:5">
      <c r="B83" s="5" t="s">
        <v>107</v>
      </c>
      <c r="C83" s="5" t="s">
        <v>315</v>
      </c>
      <c r="D83" s="5" t="s">
        <v>501</v>
      </c>
      <c r="E83" s="14"/>
    </row>
    <row r="84" spans="2:5">
      <c r="B84" s="5" t="s">
        <v>108</v>
      </c>
      <c r="C84" s="5" t="s">
        <v>316</v>
      </c>
      <c r="D84" s="5" t="s">
        <v>502</v>
      </c>
      <c r="E84" s="14"/>
    </row>
    <row r="85" spans="2:5">
      <c r="B85" s="5" t="s">
        <v>109</v>
      </c>
      <c r="C85" s="5" t="s">
        <v>317</v>
      </c>
      <c r="D85" s="5" t="s">
        <v>503</v>
      </c>
      <c r="E85" s="14"/>
    </row>
    <row r="86" spans="2:5">
      <c r="B86" s="5" t="s">
        <v>110</v>
      </c>
      <c r="C86" s="5" t="s">
        <v>318</v>
      </c>
      <c r="D86" s="5" t="s">
        <v>504</v>
      </c>
      <c r="E86" s="14"/>
    </row>
    <row r="87" spans="2:5">
      <c r="B87" s="6" t="s">
        <v>187</v>
      </c>
      <c r="C87" s="6" t="s">
        <v>319</v>
      </c>
      <c r="D87" s="6" t="s">
        <v>505</v>
      </c>
      <c r="E87" s="15"/>
    </row>
    <row r="88" spans="2:5">
      <c r="B88" s="5" t="s">
        <v>111</v>
      </c>
      <c r="C88" s="5" t="s">
        <v>320</v>
      </c>
      <c r="D88" s="5" t="s">
        <v>506</v>
      </c>
      <c r="E88" s="14"/>
    </row>
    <row r="89" spans="2:5">
      <c r="B89" s="5" t="s">
        <v>112</v>
      </c>
      <c r="C89" s="5" t="s">
        <v>321</v>
      </c>
      <c r="D89" s="5" t="s">
        <v>507</v>
      </c>
      <c r="E89" s="14"/>
    </row>
    <row r="90" spans="2:5">
      <c r="B90" s="5" t="s">
        <v>113</v>
      </c>
      <c r="C90" s="5" t="s">
        <v>322</v>
      </c>
      <c r="D90" s="5" t="s">
        <v>508</v>
      </c>
      <c r="E90" s="14"/>
    </row>
    <row r="91" spans="2:5">
      <c r="B91" s="5" t="s">
        <v>114</v>
      </c>
      <c r="C91" s="5" t="s">
        <v>323</v>
      </c>
      <c r="D91" s="5" t="s">
        <v>323</v>
      </c>
      <c r="E91" s="14"/>
    </row>
    <row r="92" spans="2:5">
      <c r="B92" s="5" t="s">
        <v>115</v>
      </c>
      <c r="C92" s="5" t="s">
        <v>115</v>
      </c>
      <c r="D92" s="5" t="s">
        <v>509</v>
      </c>
      <c r="E92" s="14"/>
    </row>
    <row r="93" spans="2:5">
      <c r="B93" s="5" t="s">
        <v>116</v>
      </c>
      <c r="C93" s="5" t="s">
        <v>324</v>
      </c>
      <c r="D93" s="5" t="s">
        <v>510</v>
      </c>
      <c r="E93" s="14"/>
    </row>
    <row r="94" spans="2:5">
      <c r="B94" s="5" t="s">
        <v>117</v>
      </c>
      <c r="C94" s="5" t="s">
        <v>325</v>
      </c>
      <c r="D94" s="5" t="s">
        <v>511</v>
      </c>
      <c r="E94" s="14"/>
    </row>
    <row r="95" spans="2:5">
      <c r="B95" s="5" t="s">
        <v>118</v>
      </c>
      <c r="C95" s="5" t="s">
        <v>326</v>
      </c>
      <c r="D95" s="5" t="s">
        <v>512</v>
      </c>
      <c r="E95" s="14"/>
    </row>
    <row r="96" spans="2:5">
      <c r="B96" s="5" t="s">
        <v>119</v>
      </c>
      <c r="C96" s="5" t="s">
        <v>327</v>
      </c>
      <c r="D96" s="5" t="s">
        <v>513</v>
      </c>
      <c r="E96" s="14"/>
    </row>
    <row r="97" spans="2:5">
      <c r="B97" s="5" t="s">
        <v>120</v>
      </c>
      <c r="C97" s="5" t="s">
        <v>328</v>
      </c>
      <c r="D97" s="5" t="s">
        <v>514</v>
      </c>
      <c r="E97" s="14"/>
    </row>
    <row r="98" spans="2:5">
      <c r="B98" s="5" t="s">
        <v>121</v>
      </c>
      <c r="C98" s="5" t="s">
        <v>329</v>
      </c>
      <c r="D98" s="5" t="s">
        <v>515</v>
      </c>
      <c r="E98" s="14"/>
    </row>
    <row r="99" spans="2:5">
      <c r="B99" s="5" t="s">
        <v>122</v>
      </c>
      <c r="C99" s="5" t="s">
        <v>330</v>
      </c>
      <c r="D99" s="5" t="s">
        <v>516</v>
      </c>
      <c r="E99" s="14"/>
    </row>
    <row r="100" spans="2:5">
      <c r="B100" s="6" t="s">
        <v>186</v>
      </c>
      <c r="C100" s="6" t="s">
        <v>331</v>
      </c>
      <c r="D100" s="6" t="s">
        <v>517</v>
      </c>
      <c r="E100" s="15"/>
    </row>
    <row r="101" spans="2:5">
      <c r="B101" s="5" t="s">
        <v>123</v>
      </c>
      <c r="C101" s="5" t="s">
        <v>332</v>
      </c>
      <c r="D101" s="5" t="s">
        <v>518</v>
      </c>
      <c r="E101" s="14"/>
    </row>
    <row r="102" spans="2:5">
      <c r="B102" s="5" t="s">
        <v>124</v>
      </c>
      <c r="C102" s="5" t="s">
        <v>333</v>
      </c>
      <c r="D102" s="5" t="s">
        <v>519</v>
      </c>
      <c r="E102" s="14"/>
    </row>
    <row r="103" spans="2:5">
      <c r="B103" s="5" t="s">
        <v>125</v>
      </c>
      <c r="C103" s="5" t="s">
        <v>334</v>
      </c>
      <c r="D103" s="5" t="s">
        <v>520</v>
      </c>
      <c r="E103" s="14"/>
    </row>
    <row r="104" spans="2:5">
      <c r="B104" s="5" t="s">
        <v>126</v>
      </c>
      <c r="C104" s="5" t="s">
        <v>335</v>
      </c>
      <c r="D104" s="5" t="s">
        <v>335</v>
      </c>
      <c r="E104" s="14"/>
    </row>
    <row r="105" spans="2:5">
      <c r="B105" s="5" t="s">
        <v>127</v>
      </c>
      <c r="C105" s="5" t="s">
        <v>127</v>
      </c>
      <c r="D105" s="5" t="s">
        <v>521</v>
      </c>
      <c r="E105" s="14"/>
    </row>
    <row r="106" spans="2:5">
      <c r="B106" s="5" t="s">
        <v>128</v>
      </c>
      <c r="C106" s="5" t="s">
        <v>336</v>
      </c>
      <c r="D106" s="5" t="s">
        <v>522</v>
      </c>
      <c r="E106" s="14"/>
    </row>
    <row r="107" spans="2:5">
      <c r="B107" s="5" t="s">
        <v>129</v>
      </c>
      <c r="C107" s="5" t="s">
        <v>337</v>
      </c>
      <c r="D107" s="5" t="s">
        <v>523</v>
      </c>
      <c r="E107" s="14"/>
    </row>
    <row r="108" spans="2:5">
      <c r="B108" s="5" t="s">
        <v>130</v>
      </c>
      <c r="C108" s="5" t="s">
        <v>338</v>
      </c>
      <c r="D108" s="5" t="s">
        <v>524</v>
      </c>
      <c r="E108" s="14"/>
    </row>
    <row r="109" spans="2:5">
      <c r="B109" s="5" t="s">
        <v>131</v>
      </c>
      <c r="C109" s="5" t="s">
        <v>339</v>
      </c>
      <c r="D109" s="5" t="s">
        <v>525</v>
      </c>
      <c r="E109" s="14"/>
    </row>
    <row r="110" spans="2:5">
      <c r="B110" s="5" t="s">
        <v>132</v>
      </c>
      <c r="C110" s="5" t="s">
        <v>340</v>
      </c>
      <c r="D110" s="5" t="s">
        <v>526</v>
      </c>
      <c r="E110" s="14"/>
    </row>
    <row r="111" spans="2:5">
      <c r="B111" s="5" t="s">
        <v>133</v>
      </c>
      <c r="C111" s="5" t="s">
        <v>341</v>
      </c>
      <c r="D111" s="5" t="s">
        <v>527</v>
      </c>
      <c r="E111" s="14"/>
    </row>
    <row r="112" spans="2:5">
      <c r="B112" s="5" t="s">
        <v>134</v>
      </c>
      <c r="C112" s="5" t="s">
        <v>342</v>
      </c>
      <c r="D112" s="5" t="s">
        <v>528</v>
      </c>
      <c r="E112" s="14"/>
    </row>
    <row r="113" spans="2:5">
      <c r="B113" s="6" t="s">
        <v>188</v>
      </c>
      <c r="C113" s="6" t="s">
        <v>343</v>
      </c>
      <c r="D113" s="6" t="s">
        <v>529</v>
      </c>
      <c r="E113" s="15"/>
    </row>
    <row r="114" spans="2:5">
      <c r="B114" s="5" t="s">
        <v>135</v>
      </c>
      <c r="C114" s="5" t="s">
        <v>344</v>
      </c>
      <c r="D114" s="5" t="s">
        <v>530</v>
      </c>
      <c r="E114" s="14"/>
    </row>
    <row r="115" spans="2:5">
      <c r="B115" s="5" t="s">
        <v>136</v>
      </c>
      <c r="C115" s="5" t="s">
        <v>345</v>
      </c>
      <c r="D115" s="5" t="s">
        <v>531</v>
      </c>
      <c r="E115" s="14"/>
    </row>
    <row r="116" spans="2:5">
      <c r="B116" s="5" t="s">
        <v>137</v>
      </c>
      <c r="C116" s="5" t="s">
        <v>346</v>
      </c>
      <c r="D116" s="5" t="s">
        <v>532</v>
      </c>
      <c r="E116" s="14"/>
    </row>
    <row r="117" spans="2:5">
      <c r="B117" s="5" t="s">
        <v>138</v>
      </c>
      <c r="C117" s="5" t="s">
        <v>347</v>
      </c>
      <c r="D117" s="5" t="s">
        <v>347</v>
      </c>
      <c r="E117" s="14"/>
    </row>
    <row r="118" spans="2:5">
      <c r="B118" s="5" t="s">
        <v>139</v>
      </c>
      <c r="C118" s="5" t="s">
        <v>139</v>
      </c>
      <c r="D118" s="5" t="s">
        <v>533</v>
      </c>
      <c r="E118" s="14"/>
    </row>
    <row r="119" spans="2:5">
      <c r="B119" s="5" t="s">
        <v>140</v>
      </c>
      <c r="C119" s="5" t="s">
        <v>348</v>
      </c>
      <c r="D119" s="5" t="s">
        <v>534</v>
      </c>
      <c r="E119" s="14"/>
    </row>
    <row r="120" spans="2:5">
      <c r="B120" s="5" t="s">
        <v>141</v>
      </c>
      <c r="C120" s="5" t="s">
        <v>349</v>
      </c>
      <c r="D120" s="5" t="s">
        <v>535</v>
      </c>
      <c r="E120" s="14"/>
    </row>
    <row r="121" spans="2:5">
      <c r="B121" s="5" t="s">
        <v>142</v>
      </c>
      <c r="C121" s="5" t="s">
        <v>350</v>
      </c>
      <c r="D121" s="5" t="s">
        <v>536</v>
      </c>
      <c r="E121" s="14"/>
    </row>
    <row r="122" spans="2:5">
      <c r="B122" s="5" t="s">
        <v>143</v>
      </c>
      <c r="C122" s="5" t="s">
        <v>351</v>
      </c>
      <c r="D122" s="5" t="s">
        <v>537</v>
      </c>
      <c r="E122" s="14"/>
    </row>
    <row r="123" spans="2:5">
      <c r="B123" s="5" t="s">
        <v>144</v>
      </c>
      <c r="C123" s="5" t="s">
        <v>352</v>
      </c>
      <c r="D123" s="5" t="s">
        <v>538</v>
      </c>
      <c r="E123" s="14"/>
    </row>
    <row r="124" spans="2:5">
      <c r="B124" s="5" t="s">
        <v>145</v>
      </c>
      <c r="C124" s="5" t="s">
        <v>353</v>
      </c>
      <c r="D124" s="5" t="s">
        <v>539</v>
      </c>
      <c r="E124" s="14"/>
    </row>
    <row r="125" spans="2:5">
      <c r="B125" s="5" t="s">
        <v>146</v>
      </c>
      <c r="C125" s="5" t="s">
        <v>354</v>
      </c>
      <c r="D125" s="5" t="s">
        <v>540</v>
      </c>
      <c r="E125" s="14"/>
    </row>
    <row r="126" spans="2:5">
      <c r="B126" s="6" t="s">
        <v>191</v>
      </c>
      <c r="C126" s="6" t="s">
        <v>355</v>
      </c>
      <c r="D126" s="6" t="s">
        <v>541</v>
      </c>
      <c r="E126" s="15"/>
    </row>
    <row r="127" spans="2:5">
      <c r="B127" s="5" t="s">
        <v>147</v>
      </c>
      <c r="C127" s="5" t="s">
        <v>356</v>
      </c>
      <c r="D127" s="5" t="s">
        <v>542</v>
      </c>
      <c r="E127" s="14"/>
    </row>
    <row r="128" spans="2:5">
      <c r="B128" s="5" t="s">
        <v>148</v>
      </c>
      <c r="C128" s="5" t="s">
        <v>357</v>
      </c>
      <c r="D128" s="5" t="s">
        <v>543</v>
      </c>
      <c r="E128" s="14"/>
    </row>
    <row r="129" spans="2:5">
      <c r="B129" s="5" t="s">
        <v>149</v>
      </c>
      <c r="C129" s="5" t="s">
        <v>358</v>
      </c>
      <c r="D129" s="5" t="s">
        <v>544</v>
      </c>
      <c r="E129" s="14"/>
    </row>
    <row r="130" spans="2:5">
      <c r="B130" s="5" t="s">
        <v>150</v>
      </c>
      <c r="C130" s="5" t="s">
        <v>359</v>
      </c>
      <c r="D130" s="5" t="s">
        <v>359</v>
      </c>
      <c r="E130" s="14"/>
    </row>
    <row r="131" spans="2:5">
      <c r="B131" s="5" t="s">
        <v>151</v>
      </c>
      <c r="C131" s="5" t="s">
        <v>151</v>
      </c>
      <c r="D131" s="5" t="s">
        <v>545</v>
      </c>
      <c r="E131" s="14"/>
    </row>
    <row r="132" spans="2:5">
      <c r="B132" s="5" t="s">
        <v>152</v>
      </c>
      <c r="C132" s="5" t="s">
        <v>360</v>
      </c>
      <c r="D132" s="5" t="s">
        <v>546</v>
      </c>
      <c r="E132" s="14"/>
    </row>
    <row r="133" spans="2:5">
      <c r="B133" s="5" t="s">
        <v>153</v>
      </c>
      <c r="C133" s="5" t="s">
        <v>361</v>
      </c>
      <c r="D133" s="5" t="s">
        <v>547</v>
      </c>
      <c r="E133" s="14"/>
    </row>
    <row r="134" spans="2:5">
      <c r="B134" s="5" t="s">
        <v>154</v>
      </c>
      <c r="C134" s="5" t="s">
        <v>362</v>
      </c>
      <c r="D134" s="5" t="s">
        <v>548</v>
      </c>
      <c r="E134" s="14"/>
    </row>
    <row r="135" spans="2:5">
      <c r="B135" s="5" t="s">
        <v>155</v>
      </c>
      <c r="C135" s="5" t="s">
        <v>363</v>
      </c>
      <c r="D135" s="5" t="s">
        <v>549</v>
      </c>
      <c r="E135" s="14"/>
    </row>
    <row r="136" spans="2:5">
      <c r="B136" s="5" t="s">
        <v>156</v>
      </c>
      <c r="C136" s="5" t="s">
        <v>364</v>
      </c>
      <c r="D136" s="5" t="s">
        <v>550</v>
      </c>
      <c r="E136" s="14"/>
    </row>
    <row r="137" spans="2:5">
      <c r="B137" s="5" t="s">
        <v>157</v>
      </c>
      <c r="C137" s="5" t="s">
        <v>365</v>
      </c>
      <c r="D137" s="5" t="s">
        <v>551</v>
      </c>
      <c r="E137" s="14"/>
    </row>
    <row r="138" spans="2:5">
      <c r="B138" s="5" t="s">
        <v>158</v>
      </c>
      <c r="C138" s="5" t="s">
        <v>366</v>
      </c>
      <c r="D138" s="5" t="s">
        <v>552</v>
      </c>
      <c r="E138" s="14"/>
    </row>
    <row r="139" spans="2:5">
      <c r="B139" s="6" t="s">
        <v>190</v>
      </c>
      <c r="C139" s="6" t="s">
        <v>367</v>
      </c>
      <c r="D139" s="6" t="s">
        <v>553</v>
      </c>
      <c r="E139" s="15"/>
    </row>
    <row r="140" spans="2:5">
      <c r="B140" s="5" t="s">
        <v>159</v>
      </c>
      <c r="C140" s="5" t="s">
        <v>368</v>
      </c>
      <c r="D140" s="5" t="s">
        <v>554</v>
      </c>
      <c r="E140" s="14"/>
    </row>
    <row r="141" spans="2:5">
      <c r="B141" s="5" t="s">
        <v>160</v>
      </c>
      <c r="C141" s="5" t="s">
        <v>369</v>
      </c>
      <c r="D141" s="5" t="s">
        <v>555</v>
      </c>
      <c r="E141" s="14"/>
    </row>
    <row r="142" spans="2:5">
      <c r="B142" s="5" t="s">
        <v>161</v>
      </c>
      <c r="C142" s="5" t="s">
        <v>370</v>
      </c>
      <c r="D142" s="5" t="s">
        <v>556</v>
      </c>
      <c r="E142" s="14"/>
    </row>
    <row r="143" spans="2:5">
      <c r="B143" s="5" t="s">
        <v>162</v>
      </c>
      <c r="C143" s="5" t="s">
        <v>371</v>
      </c>
      <c r="D143" s="5" t="s">
        <v>371</v>
      </c>
      <c r="E143" s="14"/>
    </row>
    <row r="144" spans="2:5">
      <c r="B144" s="5" t="s">
        <v>163</v>
      </c>
      <c r="C144" s="5" t="s">
        <v>163</v>
      </c>
      <c r="D144" s="5" t="s">
        <v>557</v>
      </c>
      <c r="E144" s="14"/>
    </row>
    <row r="145" spans="2:5">
      <c r="B145" s="5" t="s">
        <v>164</v>
      </c>
      <c r="C145" s="5" t="s">
        <v>372</v>
      </c>
      <c r="D145" s="5" t="s">
        <v>558</v>
      </c>
      <c r="E145" s="14"/>
    </row>
    <row r="146" spans="2:5">
      <c r="B146" s="5" t="s">
        <v>165</v>
      </c>
      <c r="C146" s="5" t="s">
        <v>373</v>
      </c>
      <c r="D146" s="5" t="s">
        <v>559</v>
      </c>
      <c r="E146" s="14"/>
    </row>
    <row r="147" spans="2:5">
      <c r="B147" s="5" t="s">
        <v>166</v>
      </c>
      <c r="C147" s="5" t="s">
        <v>374</v>
      </c>
      <c r="D147" s="5" t="s">
        <v>560</v>
      </c>
      <c r="E147" s="14"/>
    </row>
    <row r="148" spans="2:5">
      <c r="B148" s="5" t="s">
        <v>167</v>
      </c>
      <c r="C148" s="5" t="s">
        <v>375</v>
      </c>
      <c r="D148" s="5" t="s">
        <v>561</v>
      </c>
      <c r="E148" s="14"/>
    </row>
    <row r="149" spans="2:5">
      <c r="B149" s="5" t="s">
        <v>194</v>
      </c>
      <c r="C149" s="5" t="s">
        <v>376</v>
      </c>
      <c r="D149" s="5" t="s">
        <v>562</v>
      </c>
      <c r="E149" s="14"/>
    </row>
    <row r="150" spans="2:5">
      <c r="B150" s="5" t="s">
        <v>193</v>
      </c>
      <c r="C150" s="5" t="s">
        <v>377</v>
      </c>
      <c r="D150" s="5" t="s">
        <v>563</v>
      </c>
      <c r="E150" s="14"/>
    </row>
    <row r="151" spans="2:5">
      <c r="B151" s="5" t="s">
        <v>195</v>
      </c>
      <c r="C151" s="5" t="s">
        <v>378</v>
      </c>
      <c r="D151" s="5" t="s">
        <v>564</v>
      </c>
      <c r="E151" s="14"/>
    </row>
    <row r="152" spans="2:5">
      <c r="B152" s="6" t="s">
        <v>189</v>
      </c>
      <c r="C152" s="11" t="s">
        <v>379</v>
      </c>
      <c r="D152" s="6" t="s">
        <v>565</v>
      </c>
      <c r="E152" s="15"/>
    </row>
    <row r="153" spans="2:5">
      <c r="B153" s="5" t="s">
        <v>569</v>
      </c>
      <c r="C153" s="5" t="s">
        <v>570</v>
      </c>
      <c r="D153" s="5" t="s">
        <v>571</v>
      </c>
      <c r="E153" s="3"/>
    </row>
    <row r="154" spans="2:5">
      <c r="B154" s="5" t="s">
        <v>572</v>
      </c>
      <c r="C154" s="5" t="s">
        <v>573</v>
      </c>
      <c r="D154" s="5" t="s">
        <v>574</v>
      </c>
      <c r="E154" s="3"/>
    </row>
    <row r="155" spans="2:5">
      <c r="B155" s="5" t="s">
        <v>575</v>
      </c>
      <c r="C155" s="5" t="s">
        <v>576</v>
      </c>
      <c r="D155" s="5" t="s">
        <v>577</v>
      </c>
      <c r="E155" s="3"/>
    </row>
    <row r="156" spans="2:5">
      <c r="B156" s="5" t="s">
        <v>578</v>
      </c>
      <c r="C156" s="5" t="s">
        <v>579</v>
      </c>
      <c r="D156" s="5" t="s">
        <v>579</v>
      </c>
    </row>
    <row r="157" spans="2:5">
      <c r="B157" s="5" t="s">
        <v>580</v>
      </c>
      <c r="C157" s="5" t="s">
        <v>580</v>
      </c>
      <c r="D157" s="5" t="s">
        <v>581</v>
      </c>
    </row>
    <row r="158" spans="2:5">
      <c r="B158" s="5" t="s">
        <v>582</v>
      </c>
      <c r="C158" s="5" t="s">
        <v>583</v>
      </c>
      <c r="D158" s="5" t="s">
        <v>584</v>
      </c>
    </row>
    <row r="159" spans="2:5">
      <c r="B159" s="5" t="s">
        <v>585</v>
      </c>
      <c r="C159" s="5" t="s">
        <v>586</v>
      </c>
      <c r="D159" s="5" t="s">
        <v>587</v>
      </c>
    </row>
    <row r="160" spans="2:5">
      <c r="B160" s="5" t="s">
        <v>588</v>
      </c>
      <c r="C160" s="5" t="s">
        <v>589</v>
      </c>
      <c r="D160" s="5" t="s">
        <v>590</v>
      </c>
    </row>
    <row r="161" spans="2:4">
      <c r="B161" s="5" t="s">
        <v>591</v>
      </c>
      <c r="C161" s="5" t="s">
        <v>592</v>
      </c>
      <c r="D161" s="5" t="s">
        <v>593</v>
      </c>
    </row>
    <row r="162" spans="2:4">
      <c r="B162" s="5" t="s">
        <v>594</v>
      </c>
      <c r="C162" s="5" t="s">
        <v>595</v>
      </c>
      <c r="D162" s="5" t="s">
        <v>596</v>
      </c>
    </row>
    <row r="163" spans="2:4">
      <c r="B163" s="5" t="s">
        <v>597</v>
      </c>
      <c r="C163" s="5" t="s">
        <v>598</v>
      </c>
      <c r="D163" s="5" t="s">
        <v>599</v>
      </c>
    </row>
    <row r="164" spans="2:4">
      <c r="B164" s="5" t="s">
        <v>600</v>
      </c>
      <c r="C164" s="5" t="s">
        <v>601</v>
      </c>
      <c r="D164" s="5" t="s">
        <v>602</v>
      </c>
    </row>
    <row r="165" spans="2:4">
      <c r="B165" s="6" t="s">
        <v>604</v>
      </c>
      <c r="C165" s="11" t="s">
        <v>605</v>
      </c>
      <c r="D165" s="6" t="s">
        <v>603</v>
      </c>
    </row>
    <row r="166" spans="2:4">
      <c r="B166" s="5" t="s">
        <v>612</v>
      </c>
      <c r="C166" s="5" t="s">
        <v>613</v>
      </c>
      <c r="D166" s="5" t="s">
        <v>614</v>
      </c>
    </row>
    <row r="167" spans="2:4">
      <c r="B167" s="5" t="s">
        <v>615</v>
      </c>
      <c r="C167" s="5" t="s">
        <v>616</v>
      </c>
      <c r="D167" s="5" t="s">
        <v>617</v>
      </c>
    </row>
    <row r="168" spans="2:4">
      <c r="B168" s="5" t="s">
        <v>618</v>
      </c>
      <c r="C168" s="5" t="s">
        <v>619</v>
      </c>
      <c r="D168" s="5" t="s">
        <v>620</v>
      </c>
    </row>
    <row r="169" spans="2:4">
      <c r="B169" s="5" t="s">
        <v>621</v>
      </c>
      <c r="C169" s="5" t="s">
        <v>622</v>
      </c>
      <c r="D169" s="5" t="s">
        <v>622</v>
      </c>
    </row>
    <row r="170" spans="2:4">
      <c r="B170" s="5" t="s">
        <v>623</v>
      </c>
      <c r="C170" s="5" t="s">
        <v>623</v>
      </c>
      <c r="D170" s="5" t="s">
        <v>624</v>
      </c>
    </row>
    <row r="171" spans="2:4">
      <c r="B171" s="5" t="s">
        <v>625</v>
      </c>
      <c r="C171" s="5" t="s">
        <v>626</v>
      </c>
      <c r="D171" s="5" t="s">
        <v>627</v>
      </c>
    </row>
    <row r="172" spans="2:4">
      <c r="B172" s="5" t="s">
        <v>628</v>
      </c>
      <c r="C172" s="5" t="s">
        <v>629</v>
      </c>
      <c r="D172" s="5" t="s">
        <v>630</v>
      </c>
    </row>
    <row r="173" spans="2:4">
      <c r="B173" s="5" t="s">
        <v>631</v>
      </c>
      <c r="C173" s="5" t="s">
        <v>632</v>
      </c>
      <c r="D173" s="5" t="s">
        <v>633</v>
      </c>
    </row>
    <row r="174" spans="2:4">
      <c r="B174" s="5" t="s">
        <v>634</v>
      </c>
      <c r="C174" s="5" t="s">
        <v>635</v>
      </c>
      <c r="D174" s="5" t="s">
        <v>636</v>
      </c>
    </row>
    <row r="175" spans="2:4">
      <c r="B175" s="5" t="s">
        <v>637</v>
      </c>
      <c r="C175" s="5" t="s">
        <v>638</v>
      </c>
      <c r="D175" s="5" t="s">
        <v>639</v>
      </c>
    </row>
    <row r="176" spans="2:4">
      <c r="B176" s="5" t="s">
        <v>640</v>
      </c>
      <c r="C176" s="5" t="s">
        <v>641</v>
      </c>
      <c r="D176" s="5" t="s">
        <v>642</v>
      </c>
    </row>
    <row r="177" spans="1:4">
      <c r="B177" s="5" t="s">
        <v>643</v>
      </c>
      <c r="C177" s="5" t="s">
        <v>644</v>
      </c>
      <c r="D177" s="5" t="s">
        <v>645</v>
      </c>
    </row>
    <row r="178" spans="1:4">
      <c r="B178" s="6" t="s">
        <v>606</v>
      </c>
      <c r="C178" s="11" t="s">
        <v>607</v>
      </c>
      <c r="D178" s="6" t="s">
        <v>608</v>
      </c>
    </row>
    <row r="179" spans="1:4">
      <c r="A179">
        <v>2019</v>
      </c>
      <c r="B179" s="5" t="s">
        <v>831</v>
      </c>
      <c r="C179" s="5" t="s">
        <v>832</v>
      </c>
      <c r="D179" s="5" t="s">
        <v>833</v>
      </c>
    </row>
    <row r="180" spans="1:4">
      <c r="B180" s="5" t="s">
        <v>834</v>
      </c>
      <c r="C180" s="5" t="s">
        <v>835</v>
      </c>
      <c r="D180" s="5" t="s">
        <v>836</v>
      </c>
    </row>
    <row r="181" spans="1:4">
      <c r="B181" s="5" t="s">
        <v>837</v>
      </c>
      <c r="C181" s="5" t="s">
        <v>838</v>
      </c>
      <c r="D181" s="5" t="s">
        <v>839</v>
      </c>
    </row>
    <row r="182" spans="1:4">
      <c r="B182" s="5" t="s">
        <v>840</v>
      </c>
      <c r="C182" s="5" t="s">
        <v>841</v>
      </c>
      <c r="D182" s="5" t="s">
        <v>841</v>
      </c>
    </row>
    <row r="183" spans="1:4">
      <c r="B183" s="5" t="s">
        <v>842</v>
      </c>
      <c r="C183" s="5" t="s">
        <v>842</v>
      </c>
      <c r="D183" s="5" t="s">
        <v>843</v>
      </c>
    </row>
    <row r="184" spans="1:4">
      <c r="B184" s="5" t="s">
        <v>844</v>
      </c>
      <c r="C184" s="5" t="s">
        <v>845</v>
      </c>
      <c r="D184" s="5" t="s">
        <v>846</v>
      </c>
    </row>
    <row r="185" spans="1:4">
      <c r="B185" s="5" t="s">
        <v>847</v>
      </c>
      <c r="C185" s="5" t="s">
        <v>848</v>
      </c>
      <c r="D185" s="5" t="s">
        <v>849</v>
      </c>
    </row>
    <row r="186" spans="1:4">
      <c r="B186" s="5" t="s">
        <v>850</v>
      </c>
      <c r="C186" s="5" t="s">
        <v>851</v>
      </c>
      <c r="D186" s="5" t="s">
        <v>852</v>
      </c>
    </row>
    <row r="187" spans="1:4">
      <c r="B187" s="5" t="s">
        <v>853</v>
      </c>
      <c r="C187" s="5" t="s">
        <v>854</v>
      </c>
      <c r="D187" s="5" t="s">
        <v>855</v>
      </c>
    </row>
    <row r="188" spans="1:4">
      <c r="B188" s="5" t="s">
        <v>856</v>
      </c>
      <c r="C188" s="5" t="s">
        <v>857</v>
      </c>
      <c r="D188" s="5" t="s">
        <v>858</v>
      </c>
    </row>
    <row r="189" spans="1:4">
      <c r="B189" s="5" t="s">
        <v>859</v>
      </c>
      <c r="C189" s="5" t="s">
        <v>860</v>
      </c>
      <c r="D189" s="5" t="s">
        <v>861</v>
      </c>
    </row>
    <row r="190" spans="1:4">
      <c r="B190" s="5" t="s">
        <v>862</v>
      </c>
      <c r="C190" s="5" t="s">
        <v>863</v>
      </c>
      <c r="D190" s="5" t="s">
        <v>864</v>
      </c>
    </row>
    <row r="191" spans="1:4">
      <c r="B191" s="6" t="s">
        <v>865</v>
      </c>
      <c r="C191" s="11" t="s">
        <v>866</v>
      </c>
      <c r="D191" s="6" t="s">
        <v>867</v>
      </c>
    </row>
    <row r="192" spans="1:4">
      <c r="B192" s="5" t="s">
        <v>647</v>
      </c>
      <c r="C192" s="5" t="s">
        <v>648</v>
      </c>
      <c r="D192" s="5" t="s">
        <v>649</v>
      </c>
    </row>
    <row r="193" spans="2:4">
      <c r="B193" s="5" t="s">
        <v>650</v>
      </c>
      <c r="C193" s="5" t="s">
        <v>651</v>
      </c>
      <c r="D193" s="5" t="s">
        <v>652</v>
      </c>
    </row>
    <row r="194" spans="2:4">
      <c r="B194" s="5" t="s">
        <v>653</v>
      </c>
      <c r="C194" s="5" t="s">
        <v>654</v>
      </c>
      <c r="D194" s="5" t="s">
        <v>655</v>
      </c>
    </row>
    <row r="195" spans="2:4">
      <c r="B195" s="5" t="s">
        <v>656</v>
      </c>
      <c r="C195" s="5" t="s">
        <v>657</v>
      </c>
      <c r="D195" s="5" t="s">
        <v>657</v>
      </c>
    </row>
    <row r="196" spans="2:4">
      <c r="B196" s="5" t="s">
        <v>658</v>
      </c>
      <c r="C196" s="5" t="s">
        <v>658</v>
      </c>
      <c r="D196" s="5" t="s">
        <v>659</v>
      </c>
    </row>
    <row r="197" spans="2:4">
      <c r="B197" s="5" t="s">
        <v>660</v>
      </c>
      <c r="C197" s="5" t="s">
        <v>661</v>
      </c>
      <c r="D197" s="5" t="s">
        <v>662</v>
      </c>
    </row>
    <row r="198" spans="2:4">
      <c r="B198" s="5" t="s">
        <v>663</v>
      </c>
      <c r="C198" s="5" t="s">
        <v>664</v>
      </c>
      <c r="D198" s="5" t="s">
        <v>665</v>
      </c>
    </row>
    <row r="199" spans="2:4">
      <c r="B199" s="5" t="s">
        <v>666</v>
      </c>
      <c r="C199" s="5" t="s">
        <v>667</v>
      </c>
      <c r="D199" s="5" t="s">
        <v>668</v>
      </c>
    </row>
    <row r="200" spans="2:4">
      <c r="B200" s="5" t="s">
        <v>669</v>
      </c>
      <c r="C200" s="5" t="s">
        <v>670</v>
      </c>
      <c r="D200" s="5" t="s">
        <v>671</v>
      </c>
    </row>
    <row r="201" spans="2:4">
      <c r="B201" s="5" t="s">
        <v>672</v>
      </c>
      <c r="C201" s="5" t="s">
        <v>673</v>
      </c>
      <c r="D201" s="5" t="s">
        <v>674</v>
      </c>
    </row>
    <row r="202" spans="2:4">
      <c r="B202" s="5" t="s">
        <v>675</v>
      </c>
      <c r="C202" s="5" t="s">
        <v>676</v>
      </c>
      <c r="D202" s="5" t="s">
        <v>677</v>
      </c>
    </row>
    <row r="203" spans="2:4">
      <c r="B203" s="5" t="s">
        <v>678</v>
      </c>
      <c r="C203" s="5" t="s">
        <v>679</v>
      </c>
      <c r="D203" s="5" t="s">
        <v>680</v>
      </c>
    </row>
    <row r="204" spans="2:4">
      <c r="B204" s="6" t="s">
        <v>646</v>
      </c>
      <c r="C204" s="11" t="s">
        <v>681</v>
      </c>
      <c r="D204" s="6" t="s">
        <v>682</v>
      </c>
    </row>
    <row r="205" spans="2:4">
      <c r="B205" s="5" t="s">
        <v>684</v>
      </c>
      <c r="C205" s="5" t="s">
        <v>685</v>
      </c>
      <c r="D205" s="5" t="s">
        <v>686</v>
      </c>
    </row>
    <row r="206" spans="2:4">
      <c r="B206" s="5" t="s">
        <v>687</v>
      </c>
      <c r="C206" s="5" t="s">
        <v>688</v>
      </c>
      <c r="D206" s="5" t="s">
        <v>689</v>
      </c>
    </row>
    <row r="207" spans="2:4">
      <c r="B207" s="5" t="s">
        <v>690</v>
      </c>
      <c r="C207" s="5" t="s">
        <v>691</v>
      </c>
      <c r="D207" s="5" t="s">
        <v>692</v>
      </c>
    </row>
    <row r="208" spans="2:4">
      <c r="B208" s="5" t="s">
        <v>693</v>
      </c>
      <c r="C208" s="5" t="s">
        <v>694</v>
      </c>
      <c r="D208" s="5" t="s">
        <v>694</v>
      </c>
    </row>
    <row r="209" spans="2:4">
      <c r="B209" s="5" t="s">
        <v>695</v>
      </c>
      <c r="C209" s="5" t="s">
        <v>695</v>
      </c>
      <c r="D209" s="5" t="s">
        <v>696</v>
      </c>
    </row>
    <row r="210" spans="2:4">
      <c r="B210" s="5" t="s">
        <v>697</v>
      </c>
      <c r="C210" s="5" t="s">
        <v>698</v>
      </c>
      <c r="D210" s="5" t="s">
        <v>699</v>
      </c>
    </row>
    <row r="211" spans="2:4">
      <c r="B211" s="5" t="s">
        <v>700</v>
      </c>
      <c r="C211" s="5" t="s">
        <v>701</v>
      </c>
      <c r="D211" s="5" t="s">
        <v>702</v>
      </c>
    </row>
    <row r="212" spans="2:4">
      <c r="B212" s="5" t="s">
        <v>703</v>
      </c>
      <c r="C212" s="5" t="s">
        <v>704</v>
      </c>
      <c r="D212" s="5" t="s">
        <v>705</v>
      </c>
    </row>
    <row r="213" spans="2:4">
      <c r="B213" s="5" t="s">
        <v>706</v>
      </c>
      <c r="C213" s="5" t="s">
        <v>707</v>
      </c>
      <c r="D213" s="5" t="s">
        <v>708</v>
      </c>
    </row>
    <row r="214" spans="2:4">
      <c r="B214" s="5" t="s">
        <v>709</v>
      </c>
      <c r="C214" s="5" t="s">
        <v>710</v>
      </c>
      <c r="D214" s="5" t="s">
        <v>711</v>
      </c>
    </row>
    <row r="215" spans="2:4">
      <c r="B215" s="5" t="s">
        <v>712</v>
      </c>
      <c r="C215" s="5" t="s">
        <v>713</v>
      </c>
      <c r="D215" s="5" t="s">
        <v>714</v>
      </c>
    </row>
    <row r="216" spans="2:4">
      <c r="B216" s="5" t="s">
        <v>715</v>
      </c>
      <c r="C216" s="5" t="s">
        <v>716</v>
      </c>
      <c r="D216" s="5" t="s">
        <v>717</v>
      </c>
    </row>
    <row r="217" spans="2:4">
      <c r="B217" s="6" t="s">
        <v>683</v>
      </c>
      <c r="C217" s="11" t="s">
        <v>718</v>
      </c>
      <c r="D217" s="6" t="s">
        <v>719</v>
      </c>
    </row>
    <row r="218" spans="2:4">
      <c r="B218" s="5" t="s">
        <v>721</v>
      </c>
      <c r="C218" s="5" t="s">
        <v>722</v>
      </c>
      <c r="D218" s="5" t="s">
        <v>723</v>
      </c>
    </row>
    <row r="219" spans="2:4">
      <c r="B219" s="5" t="s">
        <v>724</v>
      </c>
      <c r="C219" s="5" t="s">
        <v>725</v>
      </c>
      <c r="D219" s="5" t="s">
        <v>726</v>
      </c>
    </row>
    <row r="220" spans="2:4">
      <c r="B220" s="5" t="s">
        <v>727</v>
      </c>
      <c r="C220" s="5" t="s">
        <v>728</v>
      </c>
      <c r="D220" s="5" t="s">
        <v>729</v>
      </c>
    </row>
    <row r="221" spans="2:4">
      <c r="B221" s="5" t="s">
        <v>730</v>
      </c>
      <c r="C221" s="5" t="s">
        <v>731</v>
      </c>
      <c r="D221" s="5" t="s">
        <v>731</v>
      </c>
    </row>
    <row r="222" spans="2:4">
      <c r="B222" s="5" t="s">
        <v>732</v>
      </c>
      <c r="C222" s="5" t="s">
        <v>732</v>
      </c>
      <c r="D222" s="5" t="s">
        <v>733</v>
      </c>
    </row>
    <row r="223" spans="2:4">
      <c r="B223" s="5" t="s">
        <v>734</v>
      </c>
      <c r="C223" s="5" t="s">
        <v>735</v>
      </c>
      <c r="D223" s="5" t="s">
        <v>736</v>
      </c>
    </row>
    <row r="224" spans="2:4">
      <c r="B224" s="5" t="s">
        <v>737</v>
      </c>
      <c r="C224" s="5" t="s">
        <v>738</v>
      </c>
      <c r="D224" s="5" t="s">
        <v>739</v>
      </c>
    </row>
    <row r="225" spans="2:4">
      <c r="B225" s="5" t="s">
        <v>740</v>
      </c>
      <c r="C225" s="5" t="s">
        <v>741</v>
      </c>
      <c r="D225" s="5" t="s">
        <v>742</v>
      </c>
    </row>
    <row r="226" spans="2:4">
      <c r="B226" s="5" t="s">
        <v>743</v>
      </c>
      <c r="C226" s="5" t="s">
        <v>744</v>
      </c>
      <c r="D226" s="5" t="s">
        <v>745</v>
      </c>
    </row>
    <row r="227" spans="2:4">
      <c r="B227" s="5" t="s">
        <v>746</v>
      </c>
      <c r="C227" s="5" t="s">
        <v>747</v>
      </c>
      <c r="D227" s="5" t="s">
        <v>748</v>
      </c>
    </row>
    <row r="228" spans="2:4">
      <c r="B228" s="5" t="s">
        <v>749</v>
      </c>
      <c r="C228" s="5" t="s">
        <v>750</v>
      </c>
      <c r="D228" s="5" t="s">
        <v>751</v>
      </c>
    </row>
    <row r="229" spans="2:4">
      <c r="B229" s="5" t="s">
        <v>752</v>
      </c>
      <c r="C229" s="5" t="s">
        <v>753</v>
      </c>
      <c r="D229" s="5" t="s">
        <v>754</v>
      </c>
    </row>
    <row r="230" spans="2:4">
      <c r="B230" s="6" t="s">
        <v>720</v>
      </c>
      <c r="C230" s="11" t="s">
        <v>755</v>
      </c>
      <c r="D230" s="6" t="s">
        <v>756</v>
      </c>
    </row>
    <row r="231" spans="2:4">
      <c r="B231" s="5" t="s">
        <v>758</v>
      </c>
      <c r="C231" s="5" t="s">
        <v>759</v>
      </c>
      <c r="D231" s="5" t="s">
        <v>760</v>
      </c>
    </row>
    <row r="232" spans="2:4">
      <c r="B232" s="5" t="s">
        <v>761</v>
      </c>
      <c r="C232" s="5" t="s">
        <v>762</v>
      </c>
      <c r="D232" s="5" t="s">
        <v>763</v>
      </c>
    </row>
    <row r="233" spans="2:4">
      <c r="B233" s="5" t="s">
        <v>764</v>
      </c>
      <c r="C233" s="5" t="s">
        <v>765</v>
      </c>
      <c r="D233" s="5" t="s">
        <v>766</v>
      </c>
    </row>
    <row r="234" spans="2:4">
      <c r="B234" s="5" t="s">
        <v>767</v>
      </c>
      <c r="C234" s="5" t="s">
        <v>768</v>
      </c>
      <c r="D234" s="5" t="s">
        <v>768</v>
      </c>
    </row>
    <row r="235" spans="2:4">
      <c r="B235" s="5" t="s">
        <v>769</v>
      </c>
      <c r="C235" s="5" t="s">
        <v>769</v>
      </c>
      <c r="D235" s="5" t="s">
        <v>770</v>
      </c>
    </row>
    <row r="236" spans="2:4">
      <c r="B236" s="5" t="s">
        <v>771</v>
      </c>
      <c r="C236" s="5" t="s">
        <v>772</v>
      </c>
      <c r="D236" s="5" t="s">
        <v>773</v>
      </c>
    </row>
    <row r="237" spans="2:4">
      <c r="B237" s="5" t="s">
        <v>774</v>
      </c>
      <c r="C237" s="5" t="s">
        <v>775</v>
      </c>
      <c r="D237" s="5" t="s">
        <v>776</v>
      </c>
    </row>
    <row r="238" spans="2:4">
      <c r="B238" s="5" t="s">
        <v>777</v>
      </c>
      <c r="C238" s="5" t="s">
        <v>778</v>
      </c>
      <c r="D238" s="5" t="s">
        <v>779</v>
      </c>
    </row>
    <row r="239" spans="2:4">
      <c r="B239" s="5" t="s">
        <v>780</v>
      </c>
      <c r="C239" s="5" t="s">
        <v>781</v>
      </c>
      <c r="D239" s="5" t="s">
        <v>782</v>
      </c>
    </row>
    <row r="240" spans="2:4">
      <c r="B240" s="5" t="s">
        <v>783</v>
      </c>
      <c r="C240" s="5" t="s">
        <v>784</v>
      </c>
      <c r="D240" s="5" t="s">
        <v>785</v>
      </c>
    </row>
    <row r="241" spans="2:4">
      <c r="B241" s="5" t="s">
        <v>786</v>
      </c>
      <c r="C241" s="5" t="s">
        <v>787</v>
      </c>
      <c r="D241" s="5" t="s">
        <v>788</v>
      </c>
    </row>
    <row r="242" spans="2:4">
      <c r="B242" s="5" t="s">
        <v>789</v>
      </c>
      <c r="C242" s="5" t="s">
        <v>790</v>
      </c>
      <c r="D242" s="5" t="s">
        <v>791</v>
      </c>
    </row>
    <row r="243" spans="2:4">
      <c r="B243" s="6" t="s">
        <v>757</v>
      </c>
      <c r="C243" s="11" t="s">
        <v>792</v>
      </c>
      <c r="D243" s="6" t="s">
        <v>793</v>
      </c>
    </row>
    <row r="244" spans="2:4">
      <c r="B244" s="5" t="s">
        <v>795</v>
      </c>
      <c r="C244" s="5" t="s">
        <v>796</v>
      </c>
      <c r="D244" s="5" t="s">
        <v>797</v>
      </c>
    </row>
    <row r="245" spans="2:4">
      <c r="B245" s="5" t="s">
        <v>798</v>
      </c>
      <c r="C245" s="5" t="s">
        <v>799</v>
      </c>
      <c r="D245" s="5" t="s">
        <v>800</v>
      </c>
    </row>
    <row r="246" spans="2:4">
      <c r="B246" s="5" t="s">
        <v>801</v>
      </c>
      <c r="C246" s="5" t="s">
        <v>802</v>
      </c>
      <c r="D246" s="5" t="s">
        <v>803</v>
      </c>
    </row>
    <row r="247" spans="2:4">
      <c r="B247" s="5" t="s">
        <v>804</v>
      </c>
      <c r="C247" s="5" t="s">
        <v>805</v>
      </c>
      <c r="D247" s="5" t="s">
        <v>805</v>
      </c>
    </row>
    <row r="248" spans="2:4">
      <c r="B248" s="5" t="s">
        <v>806</v>
      </c>
      <c r="C248" s="5" t="s">
        <v>806</v>
      </c>
      <c r="D248" s="5" t="s">
        <v>807</v>
      </c>
    </row>
    <row r="249" spans="2:4">
      <c r="B249" s="5" t="s">
        <v>808</v>
      </c>
      <c r="C249" s="5" t="s">
        <v>809</v>
      </c>
      <c r="D249" s="5" t="s">
        <v>810</v>
      </c>
    </row>
    <row r="250" spans="2:4">
      <c r="B250" s="5" t="s">
        <v>811</v>
      </c>
      <c r="C250" s="5" t="s">
        <v>812</v>
      </c>
      <c r="D250" s="5" t="s">
        <v>813</v>
      </c>
    </row>
    <row r="251" spans="2:4">
      <c r="B251" s="5" t="s">
        <v>814</v>
      </c>
      <c r="C251" s="5" t="s">
        <v>815</v>
      </c>
      <c r="D251" s="5" t="s">
        <v>816</v>
      </c>
    </row>
    <row r="252" spans="2:4">
      <c r="B252" s="5" t="s">
        <v>817</v>
      </c>
      <c r="C252" s="5" t="s">
        <v>818</v>
      </c>
      <c r="D252" s="5" t="s">
        <v>819</v>
      </c>
    </row>
    <row r="253" spans="2:4">
      <c r="B253" s="5" t="s">
        <v>820</v>
      </c>
      <c r="C253" s="5" t="s">
        <v>821</v>
      </c>
      <c r="D253" s="5" t="s">
        <v>822</v>
      </c>
    </row>
    <row r="254" spans="2:4">
      <c r="B254" s="5" t="s">
        <v>823</v>
      </c>
      <c r="C254" s="5" t="s">
        <v>824</v>
      </c>
      <c r="D254" s="5" t="s">
        <v>825</v>
      </c>
    </row>
    <row r="255" spans="2:4">
      <c r="B255" s="5" t="s">
        <v>826</v>
      </c>
      <c r="C255" s="5" t="s">
        <v>827</v>
      </c>
      <c r="D255" s="5" t="s">
        <v>828</v>
      </c>
    </row>
    <row r="256" spans="2:4">
      <c r="B256" s="6" t="s">
        <v>794</v>
      </c>
      <c r="C256" s="11" t="s">
        <v>829</v>
      </c>
      <c r="D256" s="6" t="s">
        <v>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PAGESAT</vt:lpstr>
      <vt:lpstr>PRANIMET</vt:lpstr>
      <vt:lpstr>L</vt:lpstr>
      <vt:lpstr>PAGESAT!Print_Area</vt:lpstr>
      <vt:lpstr>PRANIMET!Print_Area</vt:lpstr>
      <vt:lpstr>PAGESAT!Print_Titles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Nysret Koca</dc:creator>
  <cp:lastModifiedBy>Hajrije Haxhijaj</cp:lastModifiedBy>
  <cp:lastPrinted>2017-12-05T14:05:11Z</cp:lastPrinted>
  <dcterms:created xsi:type="dcterms:W3CDTF">2015-03-12T08:53:45Z</dcterms:created>
  <dcterms:modified xsi:type="dcterms:W3CDTF">2020-07-06T11:59:03Z</dcterms:modified>
</cp:coreProperties>
</file>