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</definedName>
    <definedName name="_xlnm.Print_Area" localSheetId="1">PRANIMET!$A$1:$L$95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I50" i="6"/>
  <c r="V44"/>
  <c r="U44"/>
  <c r="T44"/>
  <c r="P44"/>
  <c r="O44"/>
  <c r="N44"/>
  <c r="J44"/>
  <c r="H44"/>
  <c r="B44"/>
  <c r="R44"/>
  <c r="Q43"/>
  <c r="K43"/>
  <c r="E43"/>
  <c r="B43"/>
  <c r="Q42"/>
  <c r="K42"/>
  <c r="E42"/>
  <c r="B42"/>
  <c r="Q41"/>
  <c r="K41"/>
  <c r="L44"/>
  <c r="E41"/>
  <c r="B41"/>
  <c r="Q40"/>
  <c r="K40"/>
  <c r="E40"/>
  <c r="C40" s="1"/>
  <c r="B40"/>
  <c r="Q39"/>
  <c r="K39"/>
  <c r="E39"/>
  <c r="B39"/>
  <c r="S44"/>
  <c r="K38"/>
  <c r="I44"/>
  <c r="G44"/>
  <c r="B38"/>
  <c r="Q37"/>
  <c r="K37"/>
  <c r="E37"/>
  <c r="B37"/>
  <c r="Q36"/>
  <c r="K36"/>
  <c r="E36"/>
  <c r="B36"/>
  <c r="Q35"/>
  <c r="K35"/>
  <c r="F44"/>
  <c r="B35"/>
  <c r="Q34"/>
  <c r="K34"/>
  <c r="E34"/>
  <c r="B34"/>
  <c r="Q33"/>
  <c r="K33"/>
  <c r="E33"/>
  <c r="B33"/>
  <c r="Q32"/>
  <c r="K32"/>
  <c r="E32"/>
  <c r="B32"/>
  <c r="D95" i="12"/>
  <c r="E95"/>
  <c r="F95"/>
  <c r="G95"/>
  <c r="H95"/>
  <c r="I95"/>
  <c r="J95"/>
  <c r="K95"/>
  <c r="L95"/>
  <c r="C95"/>
  <c r="C83"/>
  <c r="C82"/>
  <c r="B82"/>
  <c r="C32" i="6" l="1"/>
  <c r="D36"/>
  <c r="C37"/>
  <c r="C34"/>
  <c r="D32"/>
  <c r="C36"/>
  <c r="C42"/>
  <c r="D34"/>
  <c r="C33"/>
  <c r="D43"/>
  <c r="C43"/>
  <c r="K44"/>
  <c r="C41"/>
  <c r="C39"/>
  <c r="D39"/>
  <c r="E44"/>
  <c r="E35"/>
  <c r="D37"/>
  <c r="D40"/>
  <c r="D33"/>
  <c r="E38"/>
  <c r="Q38"/>
  <c r="Q44" s="1"/>
  <c r="D41"/>
  <c r="D42"/>
  <c r="M44"/>
  <c r="C38" l="1"/>
  <c r="D38"/>
  <c r="C35"/>
  <c r="D35"/>
  <c r="C44"/>
  <c r="D44" l="1"/>
  <c r="B95" i="12" l="1"/>
  <c r="C94"/>
  <c r="B94"/>
  <c r="C93"/>
  <c r="B93"/>
  <c r="C92"/>
  <c r="B92"/>
  <c r="B91"/>
  <c r="C90"/>
  <c r="B90"/>
  <c r="C89"/>
  <c r="B89"/>
  <c r="C88"/>
  <c r="B88"/>
  <c r="C87"/>
  <c r="B87"/>
  <c r="C86"/>
  <c r="B86"/>
  <c r="C85"/>
  <c r="B85"/>
  <c r="C84"/>
  <c r="B84"/>
  <c r="B83"/>
  <c r="H80"/>
  <c r="H79"/>
  <c r="H78"/>
  <c r="G30" i="6"/>
  <c r="F30"/>
  <c r="E30" s="1"/>
  <c r="R30"/>
  <c r="I25"/>
  <c r="I27"/>
  <c r="Q29"/>
  <c r="E29"/>
  <c r="M28"/>
  <c r="L28"/>
  <c r="E28"/>
  <c r="H77" i="12"/>
  <c r="C91" l="1"/>
  <c r="E27" i="6"/>
  <c r="M26"/>
  <c r="K26" s="1"/>
  <c r="S26"/>
  <c r="G26"/>
  <c r="E26" s="1"/>
  <c r="H74" i="12"/>
  <c r="S25" i="6"/>
  <c r="G25"/>
  <c r="E25"/>
  <c r="E24"/>
  <c r="K24"/>
  <c r="E23"/>
  <c r="H71" i="12"/>
  <c r="H70"/>
  <c r="Q22" i="6"/>
  <c r="F22"/>
  <c r="E22" s="1"/>
  <c r="E21"/>
  <c r="Q21"/>
  <c r="K25"/>
  <c r="E20"/>
  <c r="H69" i="12"/>
  <c r="F70" l="1"/>
  <c r="Q20" i="6"/>
  <c r="H67" i="12"/>
  <c r="J69"/>
  <c r="K19" i="6" l="1"/>
  <c r="E19"/>
  <c r="V31"/>
  <c r="U31"/>
  <c r="T31"/>
  <c r="S31"/>
  <c r="R31"/>
  <c r="O31"/>
  <c r="N31"/>
  <c r="M31"/>
  <c r="J31"/>
  <c r="F31"/>
  <c r="B31"/>
  <c r="Q30"/>
  <c r="K30"/>
  <c r="B30"/>
  <c r="P31"/>
  <c r="B29"/>
  <c r="Q28"/>
  <c r="K28"/>
  <c r="B28"/>
  <c r="Q27"/>
  <c r="K27"/>
  <c r="B27"/>
  <c r="Q26"/>
  <c r="D26" s="1"/>
  <c r="B26"/>
  <c r="Q25"/>
  <c r="D25" s="1"/>
  <c r="I31"/>
  <c r="B25"/>
  <c r="Q24"/>
  <c r="B24"/>
  <c r="Q23"/>
  <c r="K23"/>
  <c r="B23"/>
  <c r="K22"/>
  <c r="D22" s="1"/>
  <c r="H31"/>
  <c r="B22"/>
  <c r="K21"/>
  <c r="B21"/>
  <c r="L31"/>
  <c r="K20"/>
  <c r="G31"/>
  <c r="B20"/>
  <c r="Q19"/>
  <c r="B19"/>
  <c r="K81" i="12"/>
  <c r="I81"/>
  <c r="G81"/>
  <c r="E81"/>
  <c r="D81"/>
  <c r="B81"/>
  <c r="C80"/>
  <c r="B80"/>
  <c r="F81"/>
  <c r="B79"/>
  <c r="B78"/>
  <c r="C77"/>
  <c r="B77"/>
  <c r="C76"/>
  <c r="B76"/>
  <c r="C75"/>
  <c r="B75"/>
  <c r="B74"/>
  <c r="C73"/>
  <c r="B73"/>
  <c r="C72"/>
  <c r="B72"/>
  <c r="C71"/>
  <c r="B71"/>
  <c r="C70"/>
  <c r="B70"/>
  <c r="J81"/>
  <c r="C69"/>
  <c r="B69"/>
  <c r="H9" i="6"/>
  <c r="G16"/>
  <c r="D28" l="1"/>
  <c r="D27"/>
  <c r="D24"/>
  <c r="D30"/>
  <c r="C27"/>
  <c r="C28"/>
  <c r="D23"/>
  <c r="D21"/>
  <c r="C21"/>
  <c r="D19"/>
  <c r="C23"/>
  <c r="C24"/>
  <c r="C25"/>
  <c r="C30"/>
  <c r="Q31"/>
  <c r="C22"/>
  <c r="C26"/>
  <c r="C19"/>
  <c r="K29"/>
  <c r="H81" i="12"/>
  <c r="I15" i="6"/>
  <c r="H15"/>
  <c r="E17"/>
  <c r="H66" i="12"/>
  <c r="E16" i="6"/>
  <c r="H65" i="12"/>
  <c r="F66"/>
  <c r="K31" i="6" l="1"/>
  <c r="D29"/>
  <c r="C29"/>
  <c r="C20"/>
  <c r="D20"/>
  <c r="E31"/>
  <c r="P16"/>
  <c r="H64" i="12"/>
  <c r="G15" i="6"/>
  <c r="E15" s="1"/>
  <c r="Q15"/>
  <c r="E14"/>
  <c r="H63" i="12"/>
  <c r="L60"/>
  <c r="H58"/>
  <c r="H62"/>
  <c r="E13" i="6"/>
  <c r="I12"/>
  <c r="H61" i="12"/>
  <c r="C31" i="6" l="1"/>
  <c r="D31"/>
  <c r="E12"/>
  <c r="H60" i="12"/>
  <c r="H59"/>
  <c r="E11" i="6"/>
  <c r="Q10" l="1"/>
  <c r="E10" l="1"/>
  <c r="C59" i="12"/>
  <c r="J59"/>
  <c r="E9" i="6"/>
  <c r="E8"/>
  <c r="Q8"/>
  <c r="G7"/>
  <c r="E7" s="1"/>
  <c r="L7"/>
  <c r="K7" s="1"/>
  <c r="Q7"/>
  <c r="Q9"/>
  <c r="Q11"/>
  <c r="K8"/>
  <c r="K9"/>
  <c r="K10"/>
  <c r="K11"/>
  <c r="K12"/>
  <c r="J56" i="12"/>
  <c r="J68" s="1"/>
  <c r="Q6" i="6"/>
  <c r="V18"/>
  <c r="O18"/>
  <c r="B18"/>
  <c r="Q17"/>
  <c r="K17"/>
  <c r="B17"/>
  <c r="Q16"/>
  <c r="K16"/>
  <c r="B16"/>
  <c r="K15"/>
  <c r="B15"/>
  <c r="Q14"/>
  <c r="K14"/>
  <c r="B14"/>
  <c r="Q13"/>
  <c r="K13"/>
  <c r="B13"/>
  <c r="Q12"/>
  <c r="N18"/>
  <c r="L18"/>
  <c r="B12"/>
  <c r="B11"/>
  <c r="U18"/>
  <c r="M18"/>
  <c r="B10"/>
  <c r="B9"/>
  <c r="T18"/>
  <c r="P18"/>
  <c r="J18"/>
  <c r="I18"/>
  <c r="H18"/>
  <c r="B8"/>
  <c r="F18"/>
  <c r="B7"/>
  <c r="K6"/>
  <c r="E6"/>
  <c r="B6"/>
  <c r="K68" i="12"/>
  <c r="I68"/>
  <c r="H68"/>
  <c r="G68"/>
  <c r="F68"/>
  <c r="E68"/>
  <c r="D68"/>
  <c r="B68"/>
  <c r="C67"/>
  <c r="B67"/>
  <c r="C66"/>
  <c r="B66"/>
  <c r="C65"/>
  <c r="B65"/>
  <c r="C64"/>
  <c r="B64"/>
  <c r="C63"/>
  <c r="B63"/>
  <c r="C62"/>
  <c r="B62"/>
  <c r="C61"/>
  <c r="B61"/>
  <c r="C60"/>
  <c r="B60"/>
  <c r="B59"/>
  <c r="C58"/>
  <c r="B58"/>
  <c r="C57"/>
  <c r="B57"/>
  <c r="L68"/>
  <c r="B56"/>
  <c r="D8" i="6" l="1"/>
  <c r="D7"/>
  <c r="D15"/>
  <c r="D14"/>
  <c r="D13"/>
  <c r="D9"/>
  <c r="G18"/>
  <c r="D12"/>
  <c r="C12"/>
  <c r="C11"/>
  <c r="D10"/>
  <c r="S18"/>
  <c r="C10"/>
  <c r="C8"/>
  <c r="C7"/>
  <c r="C9"/>
  <c r="D11"/>
  <c r="C14"/>
  <c r="C16"/>
  <c r="C17"/>
  <c r="C68" i="12"/>
  <c r="C6" i="6"/>
  <c r="D16"/>
  <c r="C15"/>
  <c r="C13"/>
  <c r="Q18"/>
  <c r="R18"/>
  <c r="D6"/>
  <c r="E18"/>
  <c r="D17"/>
  <c r="C56" i="12"/>
  <c r="K18" i="6" l="1"/>
  <c r="C18" s="1"/>
  <c r="D18"/>
  <c r="L55" i="12" l="1"/>
  <c r="G55"/>
  <c r="J55"/>
  <c r="H55"/>
  <c r="E55"/>
  <c r="D55"/>
  <c r="B55"/>
  <c r="B54"/>
  <c r="K55"/>
  <c r="I55"/>
  <c r="F55"/>
  <c r="B53"/>
  <c r="B52"/>
  <c r="B51"/>
  <c r="B50"/>
  <c r="B49"/>
  <c r="B48"/>
  <c r="B47"/>
  <c r="B46"/>
  <c r="B45"/>
  <c r="B44"/>
  <c r="B43"/>
  <c r="C55" l="1"/>
  <c r="F40"/>
  <c r="G36"/>
  <c r="G21"/>
  <c r="G9"/>
  <c r="K40"/>
  <c r="I40"/>
  <c r="H15" l="1"/>
  <c r="H12"/>
  <c r="H9"/>
  <c r="E11"/>
  <c r="E9"/>
  <c r="L9" s="1"/>
  <c r="E8"/>
  <c r="E7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7"/>
  <c r="I16" s="1"/>
  <c r="J9"/>
  <c r="L11" l="1"/>
  <c r="L15"/>
  <c r="L8"/>
  <c r="L7"/>
  <c r="G13"/>
  <c r="L13" s="1"/>
  <c r="H42"/>
  <c r="F16"/>
  <c r="H16"/>
  <c r="H19"/>
  <c r="G16" l="1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L18" l="1"/>
  <c r="L36"/>
  <c r="L19"/>
  <c r="L38"/>
  <c r="C38" s="1"/>
  <c r="I29"/>
  <c r="G42" l="1"/>
  <c r="D42"/>
  <c r="L42" l="1"/>
  <c r="E42"/>
  <c r="C42" l="1"/>
  <c r="C37"/>
  <c r="C36" l="1"/>
  <c r="C35" l="1"/>
  <c r="C33" l="1"/>
  <c r="C34"/>
  <c r="C32" l="1"/>
  <c r="C30" l="1"/>
  <c r="C31" l="1"/>
  <c r="B42" l="1"/>
  <c r="B41"/>
  <c r="B40"/>
  <c r="B39"/>
  <c r="B38"/>
  <c r="B37"/>
  <c r="B36"/>
  <c r="B35"/>
  <c r="B34"/>
  <c r="B33"/>
  <c r="B32"/>
  <c r="B31"/>
  <c r="B30"/>
  <c r="L29" l="1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B29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C74" l="1"/>
  <c r="C78"/>
  <c r="L81" l="1"/>
  <c r="C81" s="1"/>
  <c r="C79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71787,gjoba nga gjykata JANAR-MARS 16780.0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3,035.00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GJYKATA 3,360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53970 dhe gjykata 2625
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67133.5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6060.euro janë gjoba nga gjykata , 69,345.00 gjoba ne trafik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2950, shuma prej 55,242. gjoba ne trafik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65866 € GJOBA ne trafik, 5155.00 gjoba nga gjykata 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4,385.00
gjoba ne trafik 57,571
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51973, 
gjoba nga gjykat 3960
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trafik 58562.5
gjobat nga gjykata 5100
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H74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645,00 jane gjoba nga gjykata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4,240.00euro janë gjoba nga gjykata ,  gjoba ne trafik 65,954.5</t>
        </r>
      </text>
    </comment>
    <comment ref="H77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1545.00gjoba nga gjykata , 86,233.00 gjoba ne trafik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3835
gjoba ne trafik 63544
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53816.5 gjoba ne trafik  , 6390.00 gjoba nga gjykat a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ne trafik 58562.5
gjobat nga gjykata 5100
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ne trafik 36641,,gjoba nga gjykata 1900
</t>
        </r>
      </text>
    </comment>
    <comment ref="H88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645,00 jane gjoba nga gjykata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 3,485.00 dhe gjoba ne trafik 58111
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4,240.00euro janë gjoba nga gjykata ,  gjoba ne trafik 65,954.5</t>
        </r>
      </text>
    </comment>
    <comment ref="H91" authorId="0">
      <text>
        <r>
          <rPr>
            <b/>
            <sz val="9"/>
            <color indexed="81"/>
            <rFont val="Tahoma"/>
            <charset val="1"/>
          </rPr>
          <t>Hajrije Haxhijaj:</t>
        </r>
        <r>
          <rPr>
            <sz val="9"/>
            <color indexed="81"/>
            <rFont val="Tahoma"/>
            <charset val="1"/>
          </rPr>
          <t xml:space="preserve">
1545.00gjoba nga gjykata , 86,233.00 gjoba ne trafik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64251 € GJOBA ne trafik, 2530.88 gjoba nga gjykata 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gjykat 3835
gjoba ne trafik 63544
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 nga trafiku 70993.5, 
gjoba nga gjykat 8975
</t>
        </r>
      </text>
    </comment>
  </commentList>
</comments>
</file>

<file path=xl/sharedStrings.xml><?xml version="1.0" encoding="utf-8"?>
<sst xmlns="http://schemas.openxmlformats.org/spreadsheetml/2006/main" count="952" uniqueCount="879">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</sst>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#,##0.00;[Red]#,##0.00"/>
    <numFmt numFmtId="168" formatCode="#,##0.0"/>
    <numFmt numFmtId="169" formatCode="#,##0.000000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Verdana"/>
      <family val="2"/>
    </font>
    <font>
      <b/>
      <sz val="12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3" tint="-0.249977111117893"/>
      <name val="Arial Narrow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color theme="3" tint="-0.249977111117893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"/>
      <name val="Arial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10" xfId="1" applyNumberFormat="1" applyFont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164" fontId="21" fillId="0" borderId="10" xfId="1" applyNumberFormat="1" applyFont="1" applyBorder="1" applyProtection="1">
      <protection hidden="1"/>
    </xf>
    <xf numFmtId="167" fontId="29" fillId="2" borderId="36" xfId="1" applyNumberFormat="1" applyFont="1" applyFill="1" applyBorder="1" applyAlignment="1">
      <alignment horizontal="right"/>
    </xf>
    <xf numFmtId="43" fontId="34" fillId="2" borderId="0" xfId="119" applyFont="1" applyFill="1" applyBorder="1"/>
    <xf numFmtId="164" fontId="35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6" fillId="2" borderId="13" xfId="119" applyFont="1" applyFill="1" applyBorder="1"/>
    <xf numFmtId="43" fontId="36" fillId="2" borderId="16" xfId="119" applyFont="1" applyFill="1" applyBorder="1"/>
    <xf numFmtId="43" fontId="36" fillId="2" borderId="13" xfId="119" applyFont="1" applyFill="1" applyBorder="1" applyAlignment="1">
      <alignment horizontal="right"/>
    </xf>
    <xf numFmtId="3" fontId="36" fillId="2" borderId="13" xfId="139" applyNumberFormat="1" applyFont="1" applyFill="1" applyBorder="1"/>
    <xf numFmtId="43" fontId="36" fillId="0" borderId="13" xfId="119" applyFont="1" applyBorder="1"/>
    <xf numFmtId="43" fontId="36" fillId="0" borderId="13" xfId="139" applyNumberFormat="1" applyFont="1" applyBorder="1"/>
    <xf numFmtId="43" fontId="36" fillId="0" borderId="13" xfId="119" applyFont="1" applyBorder="1" applyAlignment="1">
      <alignment horizontal="right"/>
    </xf>
    <xf numFmtId="4" fontId="36" fillId="0" borderId="13" xfId="139" applyNumberFormat="1" applyFont="1" applyBorder="1" applyAlignment="1">
      <alignment horizontal="right"/>
    </xf>
    <xf numFmtId="166" fontId="36" fillId="0" borderId="13" xfId="206" applyNumberFormat="1" applyFont="1" applyFill="1" applyBorder="1" applyAlignment="1">
      <alignment horizontal="right" wrapText="1"/>
    </xf>
    <xf numFmtId="4" fontId="36" fillId="0" borderId="13" xfId="119" applyNumberFormat="1" applyFont="1" applyBorder="1"/>
    <xf numFmtId="4" fontId="36" fillId="2" borderId="16" xfId="119" applyNumberFormat="1" applyFont="1" applyFill="1" applyBorder="1"/>
    <xf numFmtId="4" fontId="36" fillId="2" borderId="13" xfId="119" applyNumberFormat="1" applyFont="1" applyFill="1" applyBorder="1" applyAlignment="1">
      <alignment horizontal="right"/>
    </xf>
    <xf numFmtId="4" fontId="36" fillId="0" borderId="13" xfId="207" applyNumberFormat="1" applyFont="1" applyBorder="1" applyAlignment="1">
      <alignment horizontal="right" vertical="center" wrapText="1"/>
    </xf>
    <xf numFmtId="4" fontId="36" fillId="0" borderId="34" xfId="0" applyNumberFormat="1" applyFont="1" applyBorder="1" applyAlignment="1">
      <alignment horizontal="right" vertical="center"/>
    </xf>
    <xf numFmtId="43" fontId="36" fillId="0" borderId="16" xfId="119" applyFont="1" applyBorder="1"/>
    <xf numFmtId="43" fontId="36" fillId="0" borderId="22" xfId="119" applyFont="1" applyBorder="1"/>
    <xf numFmtId="43" fontId="36" fillId="0" borderId="22" xfId="139" applyNumberFormat="1" applyFont="1" applyBorder="1"/>
    <xf numFmtId="43" fontId="36" fillId="2" borderId="22" xfId="119" applyFont="1" applyFill="1" applyBorder="1" applyAlignment="1">
      <alignment horizontal="right"/>
    </xf>
    <xf numFmtId="43" fontId="36" fillId="0" borderId="22" xfId="119" applyFont="1" applyBorder="1" applyAlignment="1">
      <alignment horizontal="right"/>
    </xf>
    <xf numFmtId="4" fontId="36" fillId="0" borderId="22" xfId="139" applyNumberFormat="1" applyFont="1" applyBorder="1" applyAlignment="1">
      <alignment horizontal="right"/>
    </xf>
    <xf numFmtId="3" fontId="37" fillId="0" borderId="10" xfId="206" applyNumberFormat="1" applyFont="1" applyFill="1" applyBorder="1" applyAlignment="1">
      <alignment horizontal="right" wrapText="1"/>
    </xf>
    <xf numFmtId="3" fontId="36" fillId="0" borderId="10" xfId="139" applyNumberFormat="1" applyFont="1" applyBorder="1"/>
    <xf numFmtId="3" fontId="36" fillId="2" borderId="10" xfId="4" applyNumberFormat="1" applyFont="1" applyFill="1" applyBorder="1" applyAlignment="1">
      <alignment horizontal="right" wrapText="1"/>
    </xf>
    <xf numFmtId="3" fontId="36" fillId="0" borderId="10" xfId="0" applyNumberFormat="1" applyFont="1" applyBorder="1" applyAlignment="1">
      <alignment horizontal="right"/>
    </xf>
    <xf numFmtId="164" fontId="37" fillId="0" borderId="11" xfId="1" applyNumberFormat="1" applyFont="1" applyBorder="1"/>
    <xf numFmtId="43" fontId="37" fillId="2" borderId="0" xfId="0" applyNumberFormat="1" applyFont="1" applyFill="1"/>
    <xf numFmtId="164" fontId="37" fillId="0" borderId="11" xfId="1" applyNumberFormat="1" applyFont="1" applyBorder="1" applyAlignment="1">
      <alignment horizontal="right"/>
    </xf>
    <xf numFmtId="164" fontId="37" fillId="0" borderId="10" xfId="1" applyNumberFormat="1" applyFont="1" applyBorder="1"/>
    <xf numFmtId="164" fontId="37" fillId="0" borderId="10" xfId="1" applyNumberFormat="1" applyFont="1" applyBorder="1" applyAlignment="1">
      <alignment horizontal="center"/>
    </xf>
    <xf numFmtId="164" fontId="37" fillId="0" borderId="10" xfId="1" applyNumberFormat="1" applyFont="1" applyBorder="1" applyAlignment="1">
      <alignment horizontal="right"/>
    </xf>
    <xf numFmtId="4" fontId="36" fillId="0" borderId="13" xfId="0" applyNumberFormat="1" applyFont="1" applyBorder="1"/>
    <xf numFmtId="4" fontId="36" fillId="0" borderId="16" xfId="0" applyNumberFormat="1" applyFont="1" applyBorder="1"/>
    <xf numFmtId="4" fontId="36" fillId="0" borderId="13" xfId="0" applyNumberFormat="1" applyFont="1" applyBorder="1" applyAlignment="1">
      <alignment horizontal="right"/>
    </xf>
    <xf numFmtId="4" fontId="36" fillId="0" borderId="33" xfId="119" applyNumberFormat="1" applyFont="1" applyFill="1" applyBorder="1" applyAlignment="1">
      <alignment horizontal="right" vertical="center"/>
    </xf>
    <xf numFmtId="4" fontId="36" fillId="0" borderId="34" xfId="119" applyNumberFormat="1" applyFont="1" applyFill="1" applyBorder="1" applyAlignment="1">
      <alignment horizontal="right" vertical="center"/>
    </xf>
    <xf numFmtId="43" fontId="36" fillId="0" borderId="0" xfId="0" applyNumberFormat="1" applyFont="1"/>
    <xf numFmtId="4" fontId="36" fillId="0" borderId="0" xfId="0" applyNumberFormat="1" applyFont="1"/>
    <xf numFmtId="4" fontId="36" fillId="0" borderId="13" xfId="208" applyNumberFormat="1" applyFont="1" applyFill="1" applyBorder="1" applyAlignment="1">
      <alignment horizontal="right" vertical="center"/>
    </xf>
    <xf numFmtId="164" fontId="38" fillId="34" borderId="12" xfId="1" applyNumberFormat="1" applyFont="1" applyFill="1" applyBorder="1"/>
    <xf numFmtId="164" fontId="38" fillId="34" borderId="12" xfId="1" applyNumberFormat="1" applyFont="1" applyFill="1" applyBorder="1" applyAlignment="1">
      <alignment horizontal="center"/>
    </xf>
    <xf numFmtId="3" fontId="38" fillId="34" borderId="12" xfId="1" applyNumberFormat="1" applyFont="1" applyFill="1" applyBorder="1" applyAlignment="1">
      <alignment horizontal="center"/>
    </xf>
    <xf numFmtId="3" fontId="37" fillId="0" borderId="10" xfId="1" applyNumberFormat="1" applyFont="1" applyBorder="1"/>
    <xf numFmtId="3" fontId="36" fillId="2" borderId="10" xfId="119" applyNumberFormat="1" applyFont="1" applyFill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7" fillId="2" borderId="10" xfId="1" applyNumberFormat="1" applyFont="1" applyFill="1" applyBorder="1"/>
    <xf numFmtId="3" fontId="37" fillId="0" borderId="10" xfId="1" applyNumberFormat="1" applyFont="1" applyBorder="1" applyAlignment="1">
      <alignment horizontal="right"/>
    </xf>
    <xf numFmtId="3" fontId="36" fillId="0" borderId="10" xfId="119" applyNumberFormat="1" applyFont="1" applyFill="1" applyBorder="1" applyAlignment="1">
      <alignment horizontal="right" vertical="center"/>
    </xf>
    <xf numFmtId="3" fontId="36" fillId="2" borderId="10" xfId="139" applyNumberFormat="1" applyFont="1" applyFill="1" applyBorder="1" applyAlignment="1">
      <alignment horizontal="right"/>
    </xf>
    <xf numFmtId="3" fontId="37" fillId="2" borderId="10" xfId="0" applyNumberFormat="1" applyFont="1" applyFill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36" fillId="38" borderId="10" xfId="1" applyNumberFormat="1" applyFont="1" applyFill="1" applyBorder="1" applyAlignment="1">
      <alignment horizontal="right"/>
    </xf>
    <xf numFmtId="3" fontId="36" fillId="38" borderId="10" xfId="119" applyNumberFormat="1" applyFont="1" applyFill="1" applyBorder="1" applyAlignment="1">
      <alignment horizontal="right"/>
    </xf>
    <xf numFmtId="3" fontId="37" fillId="2" borderId="0" xfId="0" applyNumberFormat="1" applyFont="1" applyFill="1" applyBorder="1" applyAlignment="1">
      <alignment horizontal="right"/>
    </xf>
    <xf numFmtId="3" fontId="36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6" fillId="2" borderId="10" xfId="0" applyNumberFormat="1" applyFont="1" applyFill="1" applyBorder="1" applyAlignment="1">
      <alignment horizontal="right"/>
    </xf>
    <xf numFmtId="3" fontId="37" fillId="0" borderId="10" xfId="1" applyNumberFormat="1" applyFont="1" applyFill="1" applyBorder="1" applyAlignment="1">
      <alignment horizontal="right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8" fontId="0" fillId="2" borderId="0" xfId="0" applyNumberFormat="1" applyFont="1" applyFill="1" applyBorder="1"/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167" fontId="29" fillId="2" borderId="37" xfId="0" applyNumberFormat="1" applyFont="1" applyFill="1" applyBorder="1" applyAlignment="1">
      <alignment horizontal="right"/>
    </xf>
    <xf numFmtId="3" fontId="0" fillId="0" borderId="35" xfId="1" applyNumberFormat="1" applyFont="1" applyBorder="1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3" fontId="1" fillId="0" borderId="10" xfId="1" applyNumberFormat="1" applyFont="1" applyBorder="1" applyAlignment="1">
      <alignment horizontal="right"/>
    </xf>
    <xf numFmtId="3" fontId="39" fillId="38" borderId="10" xfId="1" applyNumberFormat="1" applyFont="1" applyFill="1" applyBorder="1" applyAlignment="1">
      <alignment horizontal="right"/>
    </xf>
    <xf numFmtId="3" fontId="39" fillId="2" borderId="10" xfId="119" applyNumberFormat="1" applyFont="1" applyFill="1" applyBorder="1" applyAlignment="1">
      <alignment horizontal="right"/>
    </xf>
    <xf numFmtId="3" fontId="39" fillId="38" borderId="10" xfId="119" applyNumberFormat="1" applyFont="1" applyFill="1" applyBorder="1" applyAlignment="1">
      <alignment horizontal="right"/>
    </xf>
    <xf numFmtId="3" fontId="39" fillId="2" borderId="10" xfId="0" applyNumberFormat="1" applyFont="1" applyFill="1" applyBorder="1" applyAlignment="1">
      <alignment horizontal="right"/>
    </xf>
    <xf numFmtId="3" fontId="36" fillId="38" borderId="36" xfId="1" applyNumberFormat="1" applyFont="1" applyFill="1" applyBorder="1" applyAlignment="1">
      <alignment horizontal="right"/>
    </xf>
    <xf numFmtId="3" fontId="36" fillId="2" borderId="36" xfId="1" applyNumberFormat="1" applyFont="1" applyFill="1" applyBorder="1" applyAlignment="1">
      <alignment horizontal="right"/>
    </xf>
    <xf numFmtId="3" fontId="36" fillId="2" borderId="37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39" fillId="38" borderId="11" xfId="1" applyNumberFormat="1" applyFont="1" applyFill="1" applyBorder="1" applyAlignment="1">
      <alignment horizontal="right"/>
    </xf>
    <xf numFmtId="3" fontId="39" fillId="2" borderId="11" xfId="119" applyNumberFormat="1" applyFont="1" applyFill="1" applyBorder="1" applyAlignment="1">
      <alignment horizontal="right"/>
    </xf>
    <xf numFmtId="3" fontId="39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39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6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4" fontId="36" fillId="0" borderId="34" xfId="0" applyNumberFormat="1" applyFont="1" applyBorder="1" applyAlignment="1">
      <alignment wrapText="1"/>
    </xf>
    <xf numFmtId="4" fontId="40" fillId="0" borderId="13" xfId="0" applyNumberFormat="1" applyFont="1" applyBorder="1"/>
    <xf numFmtId="4" fontId="0" fillId="2" borderId="0" xfId="0" applyNumberFormat="1" applyFont="1" applyFill="1" applyBorder="1"/>
    <xf numFmtId="4" fontId="41" fillId="38" borderId="38" xfId="0" applyNumberFormat="1" applyFont="1" applyFill="1" applyBorder="1" applyAlignment="1" applyProtection="1">
      <alignment vertical="center" wrapText="1"/>
    </xf>
    <xf numFmtId="4" fontId="21" fillId="2" borderId="30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32" fillId="0" borderId="13" xfId="0" applyNumberFormat="1" applyFont="1" applyBorder="1"/>
    <xf numFmtId="4" fontId="0" fillId="0" borderId="39" xfId="1" applyNumberFormat="1" applyFont="1" applyFill="1" applyBorder="1" applyProtection="1">
      <protection hidden="1"/>
    </xf>
    <xf numFmtId="3" fontId="0" fillId="2" borderId="0" xfId="0" applyNumberFormat="1" applyFont="1" applyFill="1"/>
    <xf numFmtId="4" fontId="0" fillId="0" borderId="0" xfId="0" applyNumberFormat="1"/>
    <xf numFmtId="3" fontId="0" fillId="0" borderId="12" xfId="1" applyNumberFormat="1" applyFont="1" applyBorder="1"/>
    <xf numFmtId="4" fontId="36" fillId="0" borderId="40" xfId="0" applyNumberFormat="1" applyFont="1" applyBorder="1" applyAlignment="1">
      <alignment wrapText="1"/>
    </xf>
    <xf numFmtId="167" fontId="29" fillId="38" borderId="41" xfId="1" applyNumberFormat="1" applyFont="1" applyFill="1" applyBorder="1" applyAlignment="1">
      <alignment horizontal="right"/>
    </xf>
    <xf numFmtId="167" fontId="29" fillId="2" borderId="41" xfId="1" applyNumberFormat="1" applyFont="1" applyFill="1" applyBorder="1" applyAlignment="1">
      <alignment horizontal="right"/>
    </xf>
    <xf numFmtId="167" fontId="29" fillId="2" borderId="41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168" fontId="0" fillId="2" borderId="0" xfId="0" applyNumberFormat="1" applyFont="1" applyFill="1"/>
    <xf numFmtId="169" fontId="0" fillId="2" borderId="0" xfId="0" applyNumberFormat="1" applyFont="1" applyFill="1"/>
    <xf numFmtId="3" fontId="0" fillId="0" borderId="10" xfId="1" applyNumberFormat="1" applyFont="1" applyBorder="1" applyAlignment="1" applyProtection="1"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Border="1" applyAlignment="1">
      <alignment horizontal="center"/>
    </xf>
    <xf numFmtId="0" fontId="26" fillId="0" borderId="0" xfId="0" applyFont="1" applyBorder="1"/>
    <xf numFmtId="4" fontId="43" fillId="0" borderId="17" xfId="0" applyNumberFormat="1" applyFont="1" applyBorder="1"/>
    <xf numFmtId="0" fontId="21" fillId="0" borderId="10" xfId="0" applyFont="1" applyBorder="1"/>
    <xf numFmtId="4" fontId="21" fillId="2" borderId="0" xfId="0" applyNumberFormat="1" applyFont="1" applyFill="1" applyBorder="1"/>
    <xf numFmtId="3" fontId="21" fillId="2" borderId="0" xfId="0" applyNumberFormat="1" applyFont="1" applyFill="1"/>
    <xf numFmtId="0" fontId="21" fillId="2" borderId="0" xfId="0" applyFont="1" applyFill="1"/>
    <xf numFmtId="3" fontId="0" fillId="2" borderId="0" xfId="0" applyNumberFormat="1" applyFont="1" applyFill="1" applyBorder="1"/>
    <xf numFmtId="3" fontId="44" fillId="0" borderId="10" xfId="1" applyNumberFormat="1" applyFont="1" applyBorder="1" applyAlignment="1">
      <alignment horizontal="right"/>
    </xf>
    <xf numFmtId="3" fontId="44" fillId="2" borderId="10" xfId="0" applyNumberFormat="1" applyFont="1" applyFill="1" applyBorder="1" applyAlignment="1">
      <alignment horizontal="right"/>
    </xf>
    <xf numFmtId="4" fontId="39" fillId="0" borderId="34" xfId="0" applyNumberFormat="1" applyFont="1" applyBorder="1" applyAlignment="1">
      <alignment wrapText="1"/>
    </xf>
    <xf numFmtId="3" fontId="39" fillId="0" borderId="10" xfId="1" applyNumberFormat="1" applyFont="1" applyBorder="1" applyAlignment="1">
      <alignment horizontal="right"/>
    </xf>
    <xf numFmtId="3" fontId="44" fillId="0" borderId="11" xfId="1" applyNumberFormat="1" applyFont="1" applyBorder="1" applyAlignment="1">
      <alignment horizontal="right"/>
    </xf>
    <xf numFmtId="3" fontId="44" fillId="2" borderId="0" xfId="0" applyNumberFormat="1" applyFont="1" applyFill="1" applyBorder="1" applyAlignment="1">
      <alignment horizontal="right"/>
    </xf>
    <xf numFmtId="3" fontId="39" fillId="0" borderId="11" xfId="1" applyNumberFormat="1" applyFont="1" applyBorder="1" applyAlignment="1">
      <alignment horizontal="right"/>
    </xf>
    <xf numFmtId="3" fontId="44" fillId="0" borderId="10" xfId="1" applyNumberFormat="1" applyFont="1" applyFill="1" applyBorder="1" applyAlignment="1">
      <alignment horizontal="right"/>
    </xf>
    <xf numFmtId="3" fontId="39" fillId="0" borderId="34" xfId="0" applyNumberFormat="1" applyFont="1" applyBorder="1" applyAlignment="1">
      <alignment wrapText="1"/>
    </xf>
    <xf numFmtId="3" fontId="39" fillId="0" borderId="10" xfId="0" applyNumberFormat="1" applyFont="1" applyBorder="1" applyAlignment="1">
      <alignment horizontal="right"/>
    </xf>
    <xf numFmtId="3" fontId="39" fillId="2" borderId="0" xfId="0" applyNumberFormat="1" applyFont="1" applyFill="1" applyBorder="1" applyAlignment="1">
      <alignment horizontal="right"/>
    </xf>
    <xf numFmtId="3" fontId="39" fillId="0" borderId="13" xfId="0" applyNumberFormat="1" applyFont="1" applyBorder="1"/>
    <xf numFmtId="4" fontId="45" fillId="0" borderId="13" xfId="139" applyNumberFormat="1" applyFont="1" applyBorder="1"/>
    <xf numFmtId="4" fontId="39" fillId="0" borderId="13" xfId="139" applyNumberFormat="1" applyFont="1" applyBorder="1" applyAlignment="1">
      <alignment wrapText="1"/>
    </xf>
    <xf numFmtId="4" fontId="39" fillId="0" borderId="13" xfId="0" applyNumberFormat="1" applyFont="1" applyBorder="1"/>
    <xf numFmtId="3" fontId="39" fillId="2" borderId="13" xfId="119" applyNumberFormat="1" applyFont="1" applyFill="1" applyBorder="1" applyAlignment="1">
      <alignment horizontal="right" vertical="center" wrapText="1"/>
    </xf>
    <xf numFmtId="3" fontId="46" fillId="0" borderId="13" xfId="1" applyNumberFormat="1" applyFont="1" applyFill="1" applyBorder="1" applyAlignment="1">
      <alignment horizontal="right" vertical="center" wrapText="1"/>
    </xf>
    <xf numFmtId="169" fontId="0" fillId="2" borderId="0" xfId="0" applyNumberFormat="1" applyFont="1" applyFill="1" applyBorder="1"/>
    <xf numFmtId="3" fontId="40" fillId="0" borderId="13" xfId="0" applyNumberFormat="1" applyFont="1" applyBorder="1"/>
    <xf numFmtId="4" fontId="41" fillId="38" borderId="38" xfId="0" applyNumberFormat="1" applyFont="1" applyFill="1" applyBorder="1" applyAlignment="1" applyProtection="1">
      <alignment horizontal="right" vertical="center" wrapText="1"/>
    </xf>
    <xf numFmtId="164" fontId="15" fillId="0" borderId="10" xfId="1" applyNumberFormat="1" applyFont="1" applyBorder="1" applyProtection="1">
      <protection hidden="1"/>
    </xf>
    <xf numFmtId="3" fontId="42" fillId="0" borderId="0" xfId="0" applyNumberFormat="1" applyFont="1"/>
    <xf numFmtId="3" fontId="21" fillId="0" borderId="10" xfId="1" applyNumberFormat="1" applyFont="1" applyBorder="1" applyAlignment="1" applyProtection="1">
      <protection hidden="1"/>
    </xf>
    <xf numFmtId="3" fontId="0" fillId="0" borderId="0" xfId="0" applyNumberFormat="1"/>
    <xf numFmtId="3" fontId="21" fillId="0" borderId="10" xfId="1" applyNumberFormat="1" applyFont="1" applyFill="1" applyBorder="1" applyAlignment="1" applyProtection="1">
      <protection hidden="1"/>
    </xf>
    <xf numFmtId="4" fontId="0" fillId="0" borderId="34" xfId="0" applyNumberFormat="1" applyBorder="1"/>
    <xf numFmtId="4" fontId="0" fillId="2" borderId="0" xfId="0" applyNumberFormat="1" applyFill="1" applyBorder="1"/>
    <xf numFmtId="4" fontId="47" fillId="38" borderId="42" xfId="0" applyNumberFormat="1" applyFont="1" applyFill="1" applyBorder="1" applyAlignment="1" applyProtection="1">
      <alignment vertical="center" wrapText="1"/>
    </xf>
    <xf numFmtId="4" fontId="0" fillId="2" borderId="43" xfId="0" applyNumberFormat="1" applyFill="1" applyBorder="1"/>
    <xf numFmtId="3" fontId="0" fillId="0" borderId="23" xfId="1" applyNumberFormat="1" applyFont="1" applyBorder="1" applyProtection="1">
      <protection hidden="1"/>
    </xf>
    <xf numFmtId="3" fontId="0" fillId="0" borderId="23" xfId="1" applyNumberFormat="1" applyFont="1" applyFill="1" applyBorder="1" applyProtection="1">
      <protection hidden="1"/>
    </xf>
    <xf numFmtId="3" fontId="21" fillId="0" borderId="23" xfId="1" applyNumberFormat="1" applyFont="1" applyFill="1" applyBorder="1" applyProtection="1">
      <protection hidden="1"/>
    </xf>
    <xf numFmtId="3" fontId="21" fillId="0" borderId="23" xfId="1" applyNumberFormat="1" applyFont="1" applyBorder="1" applyProtection="1">
      <protection hidden="1"/>
    </xf>
    <xf numFmtId="3" fontId="0" fillId="0" borderId="13" xfId="0" applyNumberFormat="1" applyFont="1" applyBorder="1" applyProtection="1">
      <protection hidden="1"/>
    </xf>
    <xf numFmtId="3" fontId="0" fillId="0" borderId="13" xfId="1" applyNumberFormat="1" applyFont="1" applyBorder="1" applyProtection="1">
      <protection hidden="1"/>
    </xf>
    <xf numFmtId="3" fontId="0" fillId="0" borderId="45" xfId="1" applyNumberFormat="1" applyFont="1" applyBorder="1" applyProtection="1">
      <protection hidden="1"/>
    </xf>
    <xf numFmtId="4" fontId="0" fillId="0" borderId="13" xfId="0" applyNumberFormat="1" applyBorder="1"/>
    <xf numFmtId="3" fontId="0" fillId="0" borderId="13" xfId="1" applyNumberFormat="1" applyFont="1" applyFill="1" applyBorder="1" applyProtection="1">
      <protection hidden="1"/>
    </xf>
    <xf numFmtId="164" fontId="0" fillId="0" borderId="45" xfId="1" applyNumberFormat="1" applyFont="1" applyBorder="1" applyProtection="1">
      <protection hidden="1"/>
    </xf>
    <xf numFmtId="3" fontId="21" fillId="0" borderId="13" xfId="1" applyNumberFormat="1" applyFont="1" applyFill="1" applyBorder="1" applyProtection="1">
      <protection hidden="1"/>
    </xf>
    <xf numFmtId="0" fontId="0" fillId="0" borderId="13" xfId="0" applyFont="1" applyBorder="1" applyAlignment="1" applyProtection="1">
      <protection hidden="1"/>
    </xf>
    <xf numFmtId="4" fontId="47" fillId="38" borderId="13" xfId="0" applyNumberFormat="1" applyFont="1" applyFill="1" applyBorder="1" applyAlignment="1" applyProtection="1">
      <alignment vertical="center" wrapText="1"/>
    </xf>
    <xf numFmtId="3" fontId="42" fillId="0" borderId="13" xfId="0" applyNumberFormat="1" applyFont="1" applyBorder="1"/>
    <xf numFmtId="3" fontId="0" fillId="0" borderId="26" xfId="1" applyNumberFormat="1" applyFont="1" applyBorder="1" applyProtection="1">
      <protection hidden="1"/>
    </xf>
    <xf numFmtId="164" fontId="0" fillId="0" borderId="44" xfId="1" applyNumberFormat="1" applyFont="1" applyBorder="1" applyProtection="1">
      <protection hidden="1"/>
    </xf>
    <xf numFmtId="43" fontId="48" fillId="0" borderId="13" xfId="1" applyNumberFormat="1" applyFont="1" applyFill="1" applyBorder="1" applyAlignment="1">
      <alignment horizontal="right" vertical="center" wrapText="1"/>
    </xf>
    <xf numFmtId="43" fontId="48" fillId="0" borderId="13" xfId="1" applyFont="1" applyFill="1" applyBorder="1" applyAlignment="1">
      <alignment horizontal="right" vertical="center" wrapText="1"/>
    </xf>
    <xf numFmtId="43" fontId="49" fillId="0" borderId="13" xfId="1" applyFont="1" applyFill="1" applyBorder="1" applyAlignment="1">
      <alignment horizontal="right" vertical="center" wrapText="1"/>
    </xf>
    <xf numFmtId="4" fontId="44" fillId="0" borderId="10" xfId="1" applyNumberFormat="1" applyFont="1" applyBorder="1" applyAlignment="1">
      <alignment horizontal="right"/>
    </xf>
    <xf numFmtId="4" fontId="21" fillId="0" borderId="0" xfId="0" applyNumberFormat="1" applyFont="1"/>
    <xf numFmtId="4" fontId="52" fillId="38" borderId="46" xfId="0" applyNumberFormat="1" applyFont="1" applyFill="1" applyBorder="1" applyAlignment="1" applyProtection="1">
      <alignment vertical="center" wrapText="1"/>
    </xf>
    <xf numFmtId="4" fontId="0" fillId="2" borderId="43" xfId="0" applyNumberFormat="1" applyFont="1" applyFill="1" applyBorder="1"/>
    <xf numFmtId="0" fontId="21" fillId="0" borderId="10" xfId="0" applyFont="1" applyBorder="1" applyAlignment="1">
      <alignment horizontal="center" vertical="center"/>
    </xf>
    <xf numFmtId="3" fontId="45" fillId="38" borderId="11" xfId="1" applyNumberFormat="1" applyFont="1" applyFill="1" applyBorder="1" applyAlignment="1">
      <alignment horizontal="right"/>
    </xf>
    <xf numFmtId="4" fontId="0" fillId="2" borderId="34" xfId="0" applyNumberFormat="1" applyFill="1" applyBorder="1"/>
    <xf numFmtId="4" fontId="39" fillId="0" borderId="13" xfId="139" applyNumberFormat="1" applyFont="1" applyBorder="1"/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50"/>
  <sheetViews>
    <sheetView tabSelected="1" zoomScaleNormal="100" zoomScaleSheetLayoutView="80" workbookViewId="0">
      <pane xSplit="2" ySplit="5" topLeftCell="C24" activePane="bottomRight" state="frozen"/>
      <selection pane="topRight" activeCell="B1" sqref="B1"/>
      <selection pane="bottomLeft" activeCell="A6" sqref="A6"/>
      <selection pane="bottomRight" activeCell="D51" sqref="D51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24" style="71" customWidth="1"/>
    <col min="4" max="4" width="16" style="71" customWidth="1"/>
    <col min="5" max="5" width="14.42578125" style="91" customWidth="1"/>
    <col min="6" max="6" width="15.28515625" style="71" customWidth="1"/>
    <col min="7" max="7" width="15.5703125" style="71" customWidth="1"/>
    <col min="8" max="8" width="13" style="71" customWidth="1"/>
    <col min="9" max="9" width="10.7109375" style="71" customWidth="1"/>
    <col min="10" max="10" width="14.28515625" style="71" customWidth="1"/>
    <col min="11" max="11" width="12.85546875" style="71" customWidth="1"/>
    <col min="12" max="12" width="18.85546875" style="71" customWidth="1"/>
    <col min="13" max="14" width="11.5703125" style="71" customWidth="1"/>
    <col min="15" max="15" width="10.140625" style="71" customWidth="1"/>
    <col min="16" max="16" width="13.42578125" style="71" customWidth="1"/>
    <col min="17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10.42578125" style="71" customWidth="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301" t="s">
        <v>609</v>
      </c>
      <c r="E1" s="72"/>
      <c r="F1" s="70"/>
      <c r="G1" s="70"/>
      <c r="H1" s="70"/>
      <c r="I1" s="70"/>
      <c r="J1" s="70"/>
      <c r="M1" s="92"/>
      <c r="N1"/>
      <c r="O1" s="92"/>
      <c r="P1" s="92"/>
      <c r="R1" s="92"/>
    </row>
    <row r="2" spans="1:22" ht="18.75" customHeight="1">
      <c r="A2" s="100" t="s">
        <v>876</v>
      </c>
      <c r="B2" s="73"/>
      <c r="C2" s="73"/>
      <c r="D2" s="302"/>
      <c r="E2" s="74"/>
      <c r="F2" s="74"/>
      <c r="G2" s="74"/>
      <c r="H2" s="74"/>
      <c r="I2" s="74"/>
      <c r="J2" s="74"/>
      <c r="O2" s="92"/>
    </row>
    <row r="3" spans="1:22" s="75" customFormat="1" ht="12.75" customHeight="1">
      <c r="A3" s="303"/>
      <c r="B3" s="303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303"/>
      <c r="B4" s="303"/>
      <c r="C4" s="76"/>
      <c r="D4" s="78"/>
      <c r="E4" s="81"/>
      <c r="F4" s="83"/>
      <c r="G4" s="82"/>
      <c r="H4" s="82"/>
      <c r="I4" s="82"/>
      <c r="J4" s="82"/>
      <c r="K4" s="81"/>
      <c r="L4" s="93"/>
      <c r="M4" s="82"/>
      <c r="N4" s="82"/>
      <c r="O4" s="82"/>
      <c r="P4" s="82"/>
      <c r="Q4" s="81"/>
      <c r="R4" s="93"/>
      <c r="S4" s="82"/>
      <c r="T4" s="82"/>
      <c r="U4" s="82"/>
      <c r="V4" s="82"/>
    </row>
    <row r="5" spans="1:22" s="85" customFormat="1" ht="57" customHeight="1">
      <c r="A5" s="304"/>
      <c r="B5" s="304"/>
      <c r="C5" s="84" t="str">
        <f>IF(L!$A$1=1,L!I4,IF(L!$A$1=2,L!I13,L!I23))</f>
        <v>Gjithsejt Pagesat</v>
      </c>
      <c r="D5" s="183" t="str">
        <f>IF(L!$A$1=1,L!J4,IF(L!$A$1=2,L!J13,L!J23))</f>
        <v>Shpenzimet</v>
      </c>
      <c r="E5" s="183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83" t="s">
        <v>868</v>
      </c>
      <c r="L5" s="84" t="s">
        <v>0</v>
      </c>
      <c r="M5" s="84" t="s">
        <v>32</v>
      </c>
      <c r="N5" s="84" t="s">
        <v>33</v>
      </c>
      <c r="O5" s="184" t="s">
        <v>21</v>
      </c>
      <c r="P5" s="84" t="s">
        <v>35</v>
      </c>
      <c r="Q5" s="184" t="s">
        <v>869</v>
      </c>
      <c r="R5" s="84" t="s">
        <v>0</v>
      </c>
      <c r="S5" s="84" t="s">
        <v>32</v>
      </c>
      <c r="T5" s="84" t="s">
        <v>33</v>
      </c>
      <c r="U5" s="184" t="s">
        <v>21</v>
      </c>
      <c r="V5" s="84" t="s">
        <v>35</v>
      </c>
    </row>
    <row r="6" spans="1:22">
      <c r="A6" s="298">
        <v>2019</v>
      </c>
      <c r="B6" s="86" t="str">
        <f>IF(L!$A$1=1,L!B179,IF(L!$A$1=2,L!C179,L!D179))</f>
        <v>2019 Janar</v>
      </c>
      <c r="C6" s="118">
        <f t="shared" ref="C6:C18" si="0">E6+K6+Q6</f>
        <v>1308439.5799999998</v>
      </c>
      <c r="D6" s="118">
        <f t="shared" ref="D6:D17" si="1">+E6+K6+Q6</f>
        <v>1308439.5799999998</v>
      </c>
      <c r="E6" s="214">
        <f t="shared" ref="E6" si="2">SUM(F6:J6)</f>
        <v>270911.25</v>
      </c>
      <c r="F6" s="215">
        <v>157638.14000000001</v>
      </c>
      <c r="G6" s="215">
        <v>74968.020000000019</v>
      </c>
      <c r="H6" s="264">
        <v>38305.089999999997</v>
      </c>
      <c r="I6" s="215"/>
      <c r="J6" s="216"/>
      <c r="K6" s="190">
        <f t="shared" ref="K6" si="3">SUM(L6:P6)</f>
        <v>784318.95</v>
      </c>
      <c r="L6" s="191">
        <v>759520.95</v>
      </c>
      <c r="M6" s="191">
        <v>16284</v>
      </c>
      <c r="N6" s="191">
        <v>8514</v>
      </c>
      <c r="O6" s="189"/>
      <c r="P6" s="189"/>
      <c r="Q6" s="118">
        <f t="shared" ref="Q6:Q11" si="4">SUM(R6:V6)</f>
        <v>253209.37999999998</v>
      </c>
      <c r="R6" s="190">
        <v>215160.78999999998</v>
      </c>
      <c r="S6" s="118">
        <v>30103.94</v>
      </c>
      <c r="T6" s="186">
        <v>7944.65</v>
      </c>
      <c r="U6" s="118"/>
      <c r="V6" s="118"/>
    </row>
    <row r="7" spans="1:22">
      <c r="A7" s="298"/>
      <c r="B7" s="86" t="str">
        <f>IF(L!$A$1=1,L!B180,IF(L!$A$1=2,L!C180,L!D180))</f>
        <v>2019 Shkurt</v>
      </c>
      <c r="C7" s="87">
        <f t="shared" si="0"/>
        <v>1375530.8199999998</v>
      </c>
      <c r="D7" s="118">
        <f t="shared" si="1"/>
        <v>1375530.8199999998</v>
      </c>
      <c r="E7" s="87">
        <f t="shared" ref="E7:E14" si="5">+F7+G7+H7+I7+J7</f>
        <v>283590.98</v>
      </c>
      <c r="F7" s="215">
        <v>156189.18</v>
      </c>
      <c r="G7" s="217">
        <f>98572.53-9574.69-77.5</f>
        <v>88920.34</v>
      </c>
      <c r="H7" s="265">
        <v>38481.460000000006</v>
      </c>
      <c r="I7" s="217"/>
      <c r="J7" s="216"/>
      <c r="K7" s="87">
        <f t="shared" ref="K7:K12" si="6">SUM(L7:P7)</f>
        <v>838533.91999999993</v>
      </c>
      <c r="L7" s="190">
        <f>762106.48+381.83</f>
        <v>762488.30999999994</v>
      </c>
      <c r="M7" s="192">
        <v>62344.21</v>
      </c>
      <c r="N7" s="186">
        <v>13701.4</v>
      </c>
      <c r="O7" s="187"/>
      <c r="P7" s="118"/>
      <c r="Q7" s="87">
        <f t="shared" si="4"/>
        <v>253405.91999999998</v>
      </c>
      <c r="R7" s="118">
        <v>215123.46</v>
      </c>
      <c r="S7" s="187">
        <v>30321.84</v>
      </c>
      <c r="T7" s="223">
        <v>7960.62</v>
      </c>
      <c r="U7" s="187"/>
      <c r="V7" s="118"/>
    </row>
    <row r="8" spans="1:22">
      <c r="A8" s="298"/>
      <c r="B8" s="86" t="str">
        <f>IF(L!$A$1=1,L!B181,IF(L!$A$1=2,L!C181,L!D181))</f>
        <v xml:space="preserve">2019 Mars </v>
      </c>
      <c r="C8" s="87">
        <f t="shared" si="0"/>
        <v>2125514.4000000004</v>
      </c>
      <c r="D8" s="118">
        <f t="shared" si="1"/>
        <v>2125514.4000000004</v>
      </c>
      <c r="E8" s="87">
        <f t="shared" si="5"/>
        <v>826860.8600000001</v>
      </c>
      <c r="F8" s="215">
        <v>179067.28</v>
      </c>
      <c r="G8" s="223">
        <v>160067.1</v>
      </c>
      <c r="H8" s="266">
        <v>40145.770000000004</v>
      </c>
      <c r="I8" s="217">
        <v>45546</v>
      </c>
      <c r="J8" s="216">
        <v>402034.71</v>
      </c>
      <c r="K8" s="87">
        <f t="shared" si="6"/>
        <v>1006283.07</v>
      </c>
      <c r="L8" s="190">
        <v>800225.33</v>
      </c>
      <c r="M8" s="192">
        <v>186915.1</v>
      </c>
      <c r="N8" s="192">
        <v>9352.64</v>
      </c>
      <c r="O8" s="187"/>
      <c r="P8" s="118">
        <v>9790</v>
      </c>
      <c r="Q8" s="87">
        <f t="shared" si="4"/>
        <v>292370.47000000003</v>
      </c>
      <c r="R8" s="118">
        <v>217862.63</v>
      </c>
      <c r="S8" s="223">
        <v>64497.9</v>
      </c>
      <c r="T8" s="187">
        <v>10009.94</v>
      </c>
      <c r="U8" s="187"/>
      <c r="V8" s="118"/>
    </row>
    <row r="9" spans="1:22">
      <c r="A9" s="298"/>
      <c r="B9" s="86" t="str">
        <f>IF(L!$A$1=1,L!B182,IF(L!$A$1=2,L!C182,L!D182))</f>
        <v>2019 Prill</v>
      </c>
      <c r="C9" s="87">
        <f t="shared" si="0"/>
        <v>2632744.7400000002</v>
      </c>
      <c r="D9" s="118">
        <f t="shared" si="1"/>
        <v>2632744.7400000002</v>
      </c>
      <c r="E9" s="87">
        <f t="shared" si="5"/>
        <v>1249119.77</v>
      </c>
      <c r="F9" s="215">
        <v>157895.53</v>
      </c>
      <c r="G9" s="215">
        <v>319385.74000000005</v>
      </c>
      <c r="H9" s="264">
        <f>31222.65</f>
        <v>31222.65</v>
      </c>
      <c r="I9" s="215">
        <v>58267.6</v>
      </c>
      <c r="J9" s="216">
        <v>682348.25</v>
      </c>
      <c r="K9" s="87">
        <f t="shared" si="6"/>
        <v>994529.29</v>
      </c>
      <c r="L9" s="190">
        <v>767014.98</v>
      </c>
      <c r="M9" s="190">
        <v>135621.51999999999</v>
      </c>
      <c r="N9" s="190">
        <v>19847.39</v>
      </c>
      <c r="O9" s="118"/>
      <c r="P9" s="118">
        <v>72045.399999999994</v>
      </c>
      <c r="Q9" s="87">
        <f t="shared" si="4"/>
        <v>389095.68000000005</v>
      </c>
      <c r="R9" s="118">
        <v>218115.83</v>
      </c>
      <c r="S9" s="118">
        <v>120711.79</v>
      </c>
      <c r="T9" s="187">
        <v>20931.660000000003</v>
      </c>
      <c r="U9" s="118"/>
      <c r="V9" s="118">
        <v>29336.400000000001</v>
      </c>
    </row>
    <row r="10" spans="1:22">
      <c r="A10" s="298"/>
      <c r="B10" s="86" t="str">
        <f>IF(L!$A$1=1,L!B183,IF(L!$A$1=2,L!C183,L!D183))</f>
        <v>2019 Maj</v>
      </c>
      <c r="C10" s="87">
        <f t="shared" si="0"/>
        <v>2687916.44</v>
      </c>
      <c r="D10" s="118">
        <f t="shared" si="1"/>
        <v>2687916.44</v>
      </c>
      <c r="E10" s="87">
        <f t="shared" si="5"/>
        <v>1510011.18</v>
      </c>
      <c r="F10" s="218">
        <v>150216.70000000001</v>
      </c>
      <c r="G10" s="218">
        <v>35276.560000000005</v>
      </c>
      <c r="H10" s="232">
        <v>30819.59</v>
      </c>
      <c r="I10" s="218">
        <v>81889.2</v>
      </c>
      <c r="J10" s="219">
        <v>1211809.1299999999</v>
      </c>
      <c r="K10" s="87">
        <f t="shared" si="6"/>
        <v>920760.12</v>
      </c>
      <c r="L10" s="118">
        <v>772579.83</v>
      </c>
      <c r="M10" s="118">
        <v>57391.43</v>
      </c>
      <c r="N10" s="263">
        <v>23481.74</v>
      </c>
      <c r="O10" s="118"/>
      <c r="P10" s="118">
        <v>67307.12</v>
      </c>
      <c r="Q10" s="87">
        <f t="shared" si="4"/>
        <v>257145.14</v>
      </c>
      <c r="R10" s="118">
        <v>206717.2</v>
      </c>
      <c r="S10" s="223">
        <v>6929.69</v>
      </c>
      <c r="T10" s="118">
        <v>7994.75</v>
      </c>
      <c r="U10" s="118">
        <v>8900</v>
      </c>
      <c r="V10" s="223">
        <v>26603.5</v>
      </c>
    </row>
    <row r="11" spans="1:22">
      <c r="A11" s="298"/>
      <c r="B11" s="86" t="str">
        <f>IF(L!$A$1=1,L!B184,IF(L!$A$1=2,L!C184,L!D184))</f>
        <v>2019 Qershor</v>
      </c>
      <c r="C11" s="87">
        <f t="shared" si="0"/>
        <v>1702575.0299999998</v>
      </c>
      <c r="D11" s="87">
        <f t="shared" si="1"/>
        <v>1702575.0299999998</v>
      </c>
      <c r="E11" s="87">
        <f t="shared" si="5"/>
        <v>510901.39999999997</v>
      </c>
      <c r="F11" s="218">
        <v>162537</v>
      </c>
      <c r="G11" s="218">
        <v>75862.38</v>
      </c>
      <c r="H11" s="232">
        <v>35230.839999999997</v>
      </c>
      <c r="I11" s="218">
        <v>43000</v>
      </c>
      <c r="J11">
        <v>194271.18</v>
      </c>
      <c r="K11" s="87">
        <f t="shared" si="6"/>
        <v>894763.92999999993</v>
      </c>
      <c r="L11" s="118">
        <v>772106.22</v>
      </c>
      <c r="M11" s="118">
        <v>21155.040000000001</v>
      </c>
      <c r="N11" s="118">
        <v>6117.58</v>
      </c>
      <c r="O11" s="118"/>
      <c r="P11" s="118">
        <v>95385.09</v>
      </c>
      <c r="Q11" s="87">
        <f t="shared" si="4"/>
        <v>296909.7</v>
      </c>
      <c r="R11" s="118">
        <v>234361.88</v>
      </c>
      <c r="S11" s="118">
        <v>29230.86</v>
      </c>
      <c r="T11" s="118">
        <v>1169.56</v>
      </c>
      <c r="U11" s="118"/>
      <c r="V11" s="118">
        <v>32147.4</v>
      </c>
    </row>
    <row r="12" spans="1:22">
      <c r="A12" s="298"/>
      <c r="B12" s="86" t="str">
        <f>IF(L!$A$1=1,L!B185,IF(L!$A$1=2,L!C185,L!D185))</f>
        <v>2019 Korrik</v>
      </c>
      <c r="C12" s="87">
        <f t="shared" si="0"/>
        <v>3042739.99</v>
      </c>
      <c r="D12" s="118">
        <f>+E12+K12+Q12</f>
        <v>3042739.99</v>
      </c>
      <c r="E12" s="118">
        <f t="shared" si="5"/>
        <v>1691750.17</v>
      </c>
      <c r="F12" s="186">
        <v>161017.55999999997</v>
      </c>
      <c r="G12" s="232">
        <v>214344.24000000005</v>
      </c>
      <c r="H12" s="232">
        <v>20612.279999999995</v>
      </c>
      <c r="I12" s="186">
        <f>19089.2+389.2</f>
        <v>19478.400000000001</v>
      </c>
      <c r="J12" s="233">
        <v>1276297.69</v>
      </c>
      <c r="K12" s="118">
        <f t="shared" si="6"/>
        <v>1042605.3099999999</v>
      </c>
      <c r="L12" s="118">
        <v>765388.98</v>
      </c>
      <c r="M12" s="118">
        <v>116367.59</v>
      </c>
      <c r="N12" s="118">
        <v>24664.74</v>
      </c>
      <c r="O12" s="118"/>
      <c r="P12" s="190">
        <v>136183.99999999997</v>
      </c>
      <c r="Q12" s="87">
        <f>SUM(R12:V12)</f>
        <v>308384.51</v>
      </c>
      <c r="R12" s="87">
        <v>220546.97999999998</v>
      </c>
      <c r="S12" s="87">
        <v>65055.68</v>
      </c>
      <c r="T12" s="87">
        <v>4615.83</v>
      </c>
      <c r="U12" s="87">
        <v>6000</v>
      </c>
      <c r="V12" s="120">
        <v>12166.02</v>
      </c>
    </row>
    <row r="13" spans="1:22">
      <c r="A13" s="298"/>
      <c r="B13" s="86" t="str">
        <f>IF(L!$A$1=1,L!B186,IF(L!$A$1=2,L!C186,L!D186))</f>
        <v>2019 Gusht</v>
      </c>
      <c r="C13" s="87">
        <f t="shared" si="0"/>
        <v>1877272.0299999998</v>
      </c>
      <c r="D13" s="87">
        <f t="shared" si="1"/>
        <v>1877272.0299999998</v>
      </c>
      <c r="E13" s="118">
        <f t="shared" si="5"/>
        <v>669654.1</v>
      </c>
      <c r="F13" s="116">
        <v>156959.71000000002</v>
      </c>
      <c r="G13" s="116">
        <v>68235.849999999991</v>
      </c>
      <c r="H13" s="118">
        <v>20750.919999999998</v>
      </c>
      <c r="I13" s="116">
        <v>15300</v>
      </c>
      <c r="J13" s="219">
        <v>408407.62</v>
      </c>
      <c r="K13" s="87">
        <f t="shared" ref="K13:K17" si="7">SUM(L13:P13)</f>
        <v>946115.8899999999</v>
      </c>
      <c r="L13" s="117">
        <v>768068.33</v>
      </c>
      <c r="M13" s="117">
        <v>49839.25</v>
      </c>
      <c r="N13" s="119">
        <v>1267.71</v>
      </c>
      <c r="O13" s="117"/>
      <c r="P13" s="117">
        <v>126940.6</v>
      </c>
      <c r="Q13" s="87">
        <f>SUM(R13:V13)</f>
        <v>261502.04</v>
      </c>
      <c r="R13" s="87">
        <v>216941.17</v>
      </c>
      <c r="S13" s="87">
        <v>39283.58</v>
      </c>
      <c r="T13" s="87">
        <v>5177.29</v>
      </c>
      <c r="U13" s="87">
        <v>100</v>
      </c>
      <c r="V13" s="87"/>
    </row>
    <row r="14" spans="1:22">
      <c r="A14" s="298"/>
      <c r="B14" s="86" t="str">
        <f>IF(L!$A$1=1,L!B187,IF(L!$A$1=2,L!C187,L!D187))</f>
        <v>2019 Shtator</v>
      </c>
      <c r="C14" s="87">
        <f t="shared" si="0"/>
        <v>2316277.7600000002</v>
      </c>
      <c r="D14" s="87">
        <f t="shared" si="1"/>
        <v>2316277.7600000002</v>
      </c>
      <c r="E14" s="118">
        <f t="shared" si="5"/>
        <v>1006947.15</v>
      </c>
      <c r="F14" s="116">
        <v>154610.92000000001</v>
      </c>
      <c r="G14" s="116">
        <v>26926.26</v>
      </c>
      <c r="H14" s="118">
        <v>25069.24</v>
      </c>
      <c r="I14" s="116">
        <v>32300</v>
      </c>
      <c r="J14" s="116">
        <v>768040.73</v>
      </c>
      <c r="K14" s="87">
        <f t="shared" si="7"/>
        <v>1075423.05</v>
      </c>
      <c r="L14" s="116">
        <v>753790</v>
      </c>
      <c r="M14" s="116">
        <v>20466.54</v>
      </c>
      <c r="N14" s="118">
        <v>7234.34</v>
      </c>
      <c r="O14" s="116"/>
      <c r="P14" s="116">
        <v>293932.17</v>
      </c>
      <c r="Q14" s="87">
        <f t="shared" ref="Q14:Q17" si="8">SUM(R14:V14)</f>
        <v>233907.56</v>
      </c>
      <c r="R14" s="87">
        <v>214977.79</v>
      </c>
      <c r="S14" s="87">
        <v>14339.56</v>
      </c>
      <c r="T14" s="87">
        <v>3072.21</v>
      </c>
      <c r="U14" s="87"/>
      <c r="V14" s="87">
        <v>1518</v>
      </c>
    </row>
    <row r="15" spans="1:22">
      <c r="A15" s="299"/>
      <c r="B15" s="86" t="str">
        <f>IF(L!$A$1=1,L!B188,IF(L!$A$1=2,L!C188,L!D188))</f>
        <v>2019 Tetor</v>
      </c>
      <c r="C15" s="87">
        <f t="shared" si="0"/>
        <v>2078635.3499999999</v>
      </c>
      <c r="D15" s="87">
        <f t="shared" si="1"/>
        <v>2078635.3499999999</v>
      </c>
      <c r="E15" s="87">
        <f>+F15+G15+H15+I15+J15</f>
        <v>779476.05999999994</v>
      </c>
      <c r="F15" s="223">
        <v>157937.44999999995</v>
      </c>
      <c r="G15" s="116">
        <f>177078.56-660</f>
        <v>176418.56</v>
      </c>
      <c r="H15" s="118">
        <f>48868.79-10000</f>
        <v>38868.79</v>
      </c>
      <c r="I15" s="116">
        <f>6097.2+10000</f>
        <v>16097.2</v>
      </c>
      <c r="J15" s="116">
        <v>390154.06</v>
      </c>
      <c r="K15" s="87">
        <f t="shared" si="7"/>
        <v>1002399.1799999999</v>
      </c>
      <c r="L15" s="87">
        <v>757639.73</v>
      </c>
      <c r="M15" s="213">
        <v>102573.9</v>
      </c>
      <c r="N15" s="263">
        <v>29505.57</v>
      </c>
      <c r="O15" s="213"/>
      <c r="P15" s="213">
        <v>112679.98</v>
      </c>
      <c r="Q15" s="87">
        <f t="shared" si="8"/>
        <v>296760.11000000004</v>
      </c>
      <c r="R15" s="87">
        <v>219252.92</v>
      </c>
      <c r="S15" s="262">
        <v>63715.74</v>
      </c>
      <c r="T15" s="87">
        <v>2428.4499999999998</v>
      </c>
      <c r="U15" s="87">
        <v>700</v>
      </c>
      <c r="V15" s="87">
        <v>10663</v>
      </c>
    </row>
    <row r="16" spans="1:22">
      <c r="A16" s="299"/>
      <c r="B16" s="86" t="str">
        <f>IF(L!$A$1=1,L!B189,IF(L!$A$1=2,L!C189,L!D189))</f>
        <v xml:space="preserve">2019 Nëntor </v>
      </c>
      <c r="C16" s="87">
        <f t="shared" si="0"/>
        <v>2841871.58</v>
      </c>
      <c r="D16" s="87">
        <f t="shared" si="1"/>
        <v>2841871.58</v>
      </c>
      <c r="E16" s="87">
        <f>+F16+G16+H16+I16+J16</f>
        <v>1330133.1700000002</v>
      </c>
      <c r="F16" s="220">
        <v>158820.21</v>
      </c>
      <c r="G16" s="221">
        <f>164224.58-0.05</f>
        <v>164224.53</v>
      </c>
      <c r="H16" s="118">
        <v>53121.56</v>
      </c>
      <c r="I16" s="116">
        <v>3000</v>
      </c>
      <c r="J16" s="116">
        <v>950966.87000000011</v>
      </c>
      <c r="K16" s="87">
        <f t="shared" si="7"/>
        <v>1077921.93</v>
      </c>
      <c r="L16" s="87">
        <v>760447.46</v>
      </c>
      <c r="M16" s="87">
        <v>116990.30000000002</v>
      </c>
      <c r="N16" s="118">
        <v>13221.27</v>
      </c>
      <c r="O16" s="87"/>
      <c r="P16" s="261">
        <f>185742.9+1520</f>
        <v>187262.9</v>
      </c>
      <c r="Q16" s="87">
        <f t="shared" si="8"/>
        <v>433816.48000000004</v>
      </c>
      <c r="R16" s="223">
        <v>214411.34</v>
      </c>
      <c r="S16" s="87">
        <v>48581.94</v>
      </c>
      <c r="T16" s="87">
        <v>11823.199999999999</v>
      </c>
      <c r="U16" s="87">
        <v>4000</v>
      </c>
      <c r="V16" s="261">
        <v>155000</v>
      </c>
    </row>
    <row r="17" spans="1:22">
      <c r="A17" s="299"/>
      <c r="B17" s="86" t="str">
        <f>IF(L!$A$1=1,L!B190,IF(L!$A$1=2,L!C190,L!D190))</f>
        <v>2019 Dhjetor</v>
      </c>
      <c r="C17" s="87">
        <f t="shared" si="0"/>
        <v>2546898.29</v>
      </c>
      <c r="D17" s="87">
        <f t="shared" si="1"/>
        <v>2546898.29</v>
      </c>
      <c r="E17" s="87">
        <f>+F17+G17+H17+I17+J17</f>
        <v>1087209.25</v>
      </c>
      <c r="F17" s="123">
        <v>158601.29999999999</v>
      </c>
      <c r="G17" s="87">
        <v>106851</v>
      </c>
      <c r="H17" s="118">
        <v>83612.639999999999</v>
      </c>
      <c r="I17" s="87"/>
      <c r="J17" s="87">
        <v>738144.31</v>
      </c>
      <c r="K17" s="87">
        <f t="shared" si="7"/>
        <v>1137197.3699999999</v>
      </c>
      <c r="L17" s="87">
        <v>819734.88</v>
      </c>
      <c r="M17" s="87">
        <v>59674.5</v>
      </c>
      <c r="N17" s="118">
        <v>6554.19</v>
      </c>
      <c r="O17" s="87"/>
      <c r="P17" s="87">
        <v>251233.8</v>
      </c>
      <c r="Q17" s="87">
        <f t="shared" si="8"/>
        <v>322491.67</v>
      </c>
      <c r="R17" s="87">
        <v>213226.31</v>
      </c>
      <c r="S17" s="87">
        <v>45662.74</v>
      </c>
      <c r="T17" s="87">
        <v>27157.82</v>
      </c>
      <c r="U17" s="87">
        <v>300</v>
      </c>
      <c r="V17" s="87">
        <v>36144.800000000003</v>
      </c>
    </row>
    <row r="18" spans="1:22">
      <c r="A18" s="300"/>
      <c r="B18" s="88" t="str">
        <f>IF(L!$A$1=1,L!B191,IF(L!$A$1=2,L!C191,L!D191))</f>
        <v>Gjithsej 2019</v>
      </c>
      <c r="C18" s="89">
        <f t="shared" si="0"/>
        <v>26536416.009999998</v>
      </c>
      <c r="D18" s="90">
        <f>SUM(D6:D17)</f>
        <v>26536416.009999998</v>
      </c>
      <c r="E18" s="90">
        <f t="shared" ref="E18:V18" si="9">SUM(E6:E17)</f>
        <v>11216565.34</v>
      </c>
      <c r="F18" s="90">
        <f t="shared" si="9"/>
        <v>1911490.98</v>
      </c>
      <c r="G18" s="90">
        <f t="shared" si="9"/>
        <v>1511480.58</v>
      </c>
      <c r="H18" s="90">
        <f t="shared" si="9"/>
        <v>456240.82999999996</v>
      </c>
      <c r="I18" s="90">
        <f t="shared" si="9"/>
        <v>314878.39999999997</v>
      </c>
      <c r="J18" s="90">
        <f t="shared" si="9"/>
        <v>7022474.5500000007</v>
      </c>
      <c r="K18" s="90">
        <f t="shared" si="9"/>
        <v>11720852.009999998</v>
      </c>
      <c r="L18" s="90">
        <f t="shared" si="9"/>
        <v>9259005.0000000019</v>
      </c>
      <c r="M18" s="90">
        <f t="shared" si="9"/>
        <v>945623.38</v>
      </c>
      <c r="N18" s="90">
        <f t="shared" si="9"/>
        <v>163462.57</v>
      </c>
      <c r="O18" s="90">
        <f t="shared" si="9"/>
        <v>0</v>
      </c>
      <c r="P18" s="90">
        <f t="shared" si="9"/>
        <v>1352761.0599999998</v>
      </c>
      <c r="Q18" s="90">
        <f t="shared" si="9"/>
        <v>3598998.66</v>
      </c>
      <c r="R18" s="90">
        <f t="shared" si="9"/>
        <v>2606698.2999999998</v>
      </c>
      <c r="S18" s="90">
        <f t="shared" si="9"/>
        <v>558435.26</v>
      </c>
      <c r="T18" s="90">
        <f t="shared" si="9"/>
        <v>110285.98000000001</v>
      </c>
      <c r="U18" s="90">
        <f t="shared" si="9"/>
        <v>20000</v>
      </c>
      <c r="V18" s="90">
        <f t="shared" si="9"/>
        <v>303579.12</v>
      </c>
    </row>
    <row r="19" spans="1:22">
      <c r="A19" s="298">
        <v>2020</v>
      </c>
      <c r="B19" s="86" t="str">
        <f>IF(L!$A$1=1,L!B192,IF(L!$A$1=2,L!C192,L!D192))</f>
        <v>2020 Janar</v>
      </c>
      <c r="C19" s="118">
        <f t="shared" ref="C19:C31" si="10">E19+K19+Q19</f>
        <v>1448647.75</v>
      </c>
      <c r="D19" s="118">
        <f t="shared" ref="D19:D29" si="11">+E19+K19+Q19</f>
        <v>1448647.75</v>
      </c>
      <c r="E19" s="214">
        <f t="shared" ref="E19:E30" si="12">+F19+G19+H19+I19+J19</f>
        <v>394209.41</v>
      </c>
      <c r="F19" s="215">
        <v>161438.29999999999</v>
      </c>
      <c r="G19" s="215">
        <v>81290.33</v>
      </c>
      <c r="H19" s="264">
        <v>37314.11</v>
      </c>
      <c r="I19" s="215"/>
      <c r="J19" s="75">
        <v>114166.67</v>
      </c>
      <c r="K19" s="190">
        <f t="shared" ref="K19" si="13">SUM(L19:P19)</f>
        <v>807684.63</v>
      </c>
      <c r="L19" s="191">
        <v>756133.99</v>
      </c>
      <c r="M19" s="271">
        <v>40937.1</v>
      </c>
      <c r="N19" s="275">
        <v>10613.54</v>
      </c>
      <c r="O19" s="276"/>
      <c r="P19" s="276"/>
      <c r="Q19" s="277">
        <f t="shared" ref="Q19:Q24" si="14">SUM(R19:V19)</f>
        <v>246753.71000000002</v>
      </c>
      <c r="R19" s="190">
        <v>211507.7</v>
      </c>
      <c r="S19" s="118">
        <v>26322.19</v>
      </c>
      <c r="T19" s="186">
        <v>8923.82</v>
      </c>
      <c r="U19" s="118"/>
      <c r="V19" s="118"/>
    </row>
    <row r="20" spans="1:22">
      <c r="A20" s="298"/>
      <c r="B20" s="86" t="str">
        <f>IF(L!$A$1=1,L!B193,IF(L!$A$1=2,L!C193,L!D193))</f>
        <v>2020 Shkurt</v>
      </c>
      <c r="C20" s="87">
        <f t="shared" si="10"/>
        <v>1624867.58</v>
      </c>
      <c r="D20" s="118">
        <f t="shared" si="11"/>
        <v>1624867.58</v>
      </c>
      <c r="E20" s="214">
        <f t="shared" si="12"/>
        <v>478575.37</v>
      </c>
      <c r="F20" s="223">
        <v>156896.98000000004</v>
      </c>
      <c r="G20" s="217">
        <v>122969.31</v>
      </c>
      <c r="H20" s="265">
        <v>37722.32</v>
      </c>
      <c r="I20" s="217">
        <v>20389.16</v>
      </c>
      <c r="J20" s="216">
        <v>140597.6</v>
      </c>
      <c r="K20" s="87">
        <f t="shared" ref="K20:K26" si="15">SUM(L20:P20)</f>
        <v>868303.54</v>
      </c>
      <c r="L20" s="190">
        <v>768849.65</v>
      </c>
      <c r="M20" s="272">
        <v>89170.52</v>
      </c>
      <c r="N20" s="278">
        <v>10283.370000000001</v>
      </c>
      <c r="O20" s="279"/>
      <c r="P20" s="276"/>
      <c r="Q20" s="280">
        <f t="shared" si="14"/>
        <v>277988.67</v>
      </c>
      <c r="R20" s="118">
        <v>213388.91999999998</v>
      </c>
      <c r="S20" s="187">
        <v>55284.62</v>
      </c>
      <c r="T20" s="223">
        <v>9315.130000000001</v>
      </c>
      <c r="U20" s="187"/>
      <c r="V20" s="118"/>
    </row>
    <row r="21" spans="1:22">
      <c r="A21" s="298"/>
      <c r="B21" s="86" t="str">
        <f>IF(L!$A$1=1,L!B194,IF(L!$A$1=2,L!C194,L!D194))</f>
        <v xml:space="preserve">2020 Mars </v>
      </c>
      <c r="C21" s="87">
        <f t="shared" si="10"/>
        <v>1947246.31</v>
      </c>
      <c r="D21" s="87">
        <f t="shared" si="11"/>
        <v>1947246.31</v>
      </c>
      <c r="E21" s="214">
        <f t="shared" si="12"/>
        <v>477127.99</v>
      </c>
      <c r="F21" s="215">
        <v>194451.41</v>
      </c>
      <c r="G21" s="223">
        <v>143526.82000000004</v>
      </c>
      <c r="H21" s="266">
        <v>38298.54</v>
      </c>
      <c r="I21" s="217">
        <v>7000</v>
      </c>
      <c r="J21" s="216">
        <v>93851.22</v>
      </c>
      <c r="K21" s="87">
        <f>SUM(L21:P21)</f>
        <v>1130493.3700000001</v>
      </c>
      <c r="L21" s="190">
        <v>769420.11</v>
      </c>
      <c r="M21" s="273">
        <v>92614.2</v>
      </c>
      <c r="N21" s="281">
        <v>11734.56</v>
      </c>
      <c r="O21" s="279"/>
      <c r="P21" s="282">
        <v>256724.5</v>
      </c>
      <c r="Q21" s="280">
        <f t="shared" si="14"/>
        <v>339624.95</v>
      </c>
      <c r="R21" s="118">
        <v>213177.79</v>
      </c>
      <c r="S21" s="223">
        <v>112235.17</v>
      </c>
      <c r="T21" s="187">
        <v>9217.49</v>
      </c>
      <c r="U21" s="187"/>
      <c r="V21" s="118">
        <v>4994.5</v>
      </c>
    </row>
    <row r="22" spans="1:22">
      <c r="A22" s="298"/>
      <c r="B22" s="86" t="str">
        <f>IF(L!$A$1=1,L!B195,IF(L!$A$1=2,L!C195,L!D195))</f>
        <v>2020 Prill</v>
      </c>
      <c r="C22" s="87">
        <f t="shared" si="10"/>
        <v>2252435.89</v>
      </c>
      <c r="D22" s="87">
        <f t="shared" si="11"/>
        <v>2252435.89</v>
      </c>
      <c r="E22" s="214">
        <f t="shared" si="12"/>
        <v>899826.17999999993</v>
      </c>
      <c r="F22" s="223">
        <f>177154.19+2205</f>
        <v>179359.19</v>
      </c>
      <c r="G22" s="215">
        <v>171456.58000000002</v>
      </c>
      <c r="H22" s="264">
        <v>44169.590000000011</v>
      </c>
      <c r="I22" s="215">
        <v>11151.78</v>
      </c>
      <c r="J22" s="216">
        <v>493689.03999999992</v>
      </c>
      <c r="K22" s="87">
        <f t="shared" si="15"/>
        <v>969519.07</v>
      </c>
      <c r="L22" s="190">
        <v>770125.21</v>
      </c>
      <c r="M22" s="274">
        <v>72518.069999999992</v>
      </c>
      <c r="N22" s="283">
        <v>10815.52</v>
      </c>
      <c r="O22" s="283"/>
      <c r="P22" s="283">
        <v>116060.27</v>
      </c>
      <c r="Q22" s="280">
        <f t="shared" si="14"/>
        <v>383090.64</v>
      </c>
      <c r="R22" s="269">
        <v>299028.32</v>
      </c>
      <c r="S22" s="118">
        <v>60150.9</v>
      </c>
      <c r="T22" s="223">
        <v>23911.42</v>
      </c>
      <c r="U22" s="118"/>
      <c r="V22" s="118"/>
    </row>
    <row r="23" spans="1:22">
      <c r="A23" s="298"/>
      <c r="B23" s="86" t="str">
        <f>IF(L!$A$1=1,L!B196,IF(L!$A$1=2,L!C196,L!D196))</f>
        <v>2020 Maj</v>
      </c>
      <c r="C23" s="87">
        <f t="shared" si="10"/>
        <v>2540040.5999999996</v>
      </c>
      <c r="D23" s="87">
        <f t="shared" si="11"/>
        <v>2540040.5999999996</v>
      </c>
      <c r="E23" s="214">
        <f t="shared" si="12"/>
        <v>1346027.42</v>
      </c>
      <c r="F23" s="218">
        <v>175103.74</v>
      </c>
      <c r="G23" s="218">
        <v>207652.41999999995</v>
      </c>
      <c r="H23" s="232">
        <v>29574.63</v>
      </c>
      <c r="I23" s="218">
        <v>46190.55</v>
      </c>
      <c r="J23" s="219">
        <v>887506.08</v>
      </c>
      <c r="K23" s="87">
        <f t="shared" si="15"/>
        <v>806229.21</v>
      </c>
      <c r="L23" s="118">
        <v>757937.57</v>
      </c>
      <c r="M23" s="271">
        <v>46372.3</v>
      </c>
      <c r="N23" s="284">
        <v>1919.34</v>
      </c>
      <c r="O23" s="276"/>
      <c r="P23" s="276"/>
      <c r="Q23" s="280">
        <f t="shared" si="14"/>
        <v>387783.97</v>
      </c>
      <c r="R23" s="118">
        <v>317720.86</v>
      </c>
      <c r="S23" s="223">
        <v>33808.600000000006</v>
      </c>
      <c r="T23" s="118">
        <v>2094.5100000000002</v>
      </c>
      <c r="U23" s="118"/>
      <c r="V23" s="223">
        <v>34160</v>
      </c>
    </row>
    <row r="24" spans="1:22">
      <c r="A24" s="298"/>
      <c r="B24" s="86" t="str">
        <f>IF(L!$A$1=1,L!B197,IF(L!$A$1=2,L!C197,L!D197))</f>
        <v>2020 Qershor</v>
      </c>
      <c r="C24" s="87">
        <f t="shared" si="10"/>
        <v>1911168.37</v>
      </c>
      <c r="D24" s="87">
        <f t="shared" si="11"/>
        <v>1911168.37</v>
      </c>
      <c r="E24" s="214">
        <f t="shared" si="12"/>
        <v>863213.05</v>
      </c>
      <c r="F24" s="218">
        <v>157435.51999999999</v>
      </c>
      <c r="G24" s="218">
        <v>139614.31</v>
      </c>
      <c r="H24" s="232">
        <v>28905.820000000003</v>
      </c>
      <c r="I24" s="218">
        <v>32350</v>
      </c>
      <c r="J24">
        <v>504907.4</v>
      </c>
      <c r="K24" s="87">
        <f t="shared" si="15"/>
        <v>798090.76</v>
      </c>
      <c r="L24" s="118">
        <v>769199.40999999992</v>
      </c>
      <c r="M24" s="271">
        <v>25336.42</v>
      </c>
      <c r="N24" s="285">
        <v>3554.93</v>
      </c>
      <c r="O24" s="285"/>
      <c r="P24" s="285"/>
      <c r="Q24" s="286">
        <f t="shared" si="14"/>
        <v>249864.56000000003</v>
      </c>
      <c r="R24" s="118">
        <v>220232.85</v>
      </c>
      <c r="S24" s="118">
        <v>29138.79</v>
      </c>
      <c r="T24" s="118">
        <v>492.92</v>
      </c>
      <c r="U24" s="118"/>
      <c r="V24" s="118"/>
    </row>
    <row r="25" spans="1:22">
      <c r="A25" s="298"/>
      <c r="B25" s="86" t="str">
        <f>IF(L!$A$1=1,L!B198,IF(L!$A$1=2,L!C198,L!D198))</f>
        <v>2020 Korrik</v>
      </c>
      <c r="C25" s="87">
        <f t="shared" si="10"/>
        <v>1765043.8599999999</v>
      </c>
      <c r="D25" s="87">
        <f t="shared" si="11"/>
        <v>1765043.8599999999</v>
      </c>
      <c r="E25" s="214">
        <f t="shared" si="12"/>
        <v>594469.43999999994</v>
      </c>
      <c r="F25" s="186">
        <v>153435.66999999998</v>
      </c>
      <c r="G25" s="232">
        <f>177124.04</f>
        <v>177124.04</v>
      </c>
      <c r="H25" s="232">
        <v>25664.06</v>
      </c>
      <c r="I25" s="186">
        <f>57600-950</f>
        <v>56650</v>
      </c>
      <c r="J25" s="233">
        <v>181595.67</v>
      </c>
      <c r="K25" s="87">
        <f t="shared" si="15"/>
        <v>876626.02</v>
      </c>
      <c r="L25" s="118">
        <v>751366.92</v>
      </c>
      <c r="M25" s="118">
        <v>98811.53</v>
      </c>
      <c r="N25" s="118">
        <v>74.569999999999993</v>
      </c>
      <c r="O25" s="118"/>
      <c r="P25" s="190">
        <v>26373</v>
      </c>
      <c r="Q25" s="87">
        <f>SUM(R25:V25)</f>
        <v>293948.40000000002</v>
      </c>
      <c r="R25" s="87">
        <v>214848.64000000001</v>
      </c>
      <c r="S25" s="87">
        <f>64058.39-5323</f>
        <v>58735.39</v>
      </c>
      <c r="T25" s="87">
        <v>6164.37</v>
      </c>
      <c r="U25" s="87">
        <v>14200</v>
      </c>
      <c r="V25" s="120"/>
    </row>
    <row r="26" spans="1:22">
      <c r="A26" s="298"/>
      <c r="B26" s="86" t="str">
        <f>IF(L!$A$1=1,L!B199,IF(L!$A$1=2,L!C199,L!D199))</f>
        <v>2020 Gusht</v>
      </c>
      <c r="C26" s="87">
        <f t="shared" si="10"/>
        <v>2499695.79</v>
      </c>
      <c r="D26" s="87">
        <f t="shared" si="11"/>
        <v>2499695.79</v>
      </c>
      <c r="E26" s="214">
        <f t="shared" si="12"/>
        <v>1112593.04</v>
      </c>
      <c r="F26" s="116">
        <v>167182.07</v>
      </c>
      <c r="G26" s="116">
        <f>81894.21-1642.5</f>
        <v>80251.710000000006</v>
      </c>
      <c r="H26" s="118">
        <v>22130.97</v>
      </c>
      <c r="I26" s="116">
        <v>20500</v>
      </c>
      <c r="J26" s="219">
        <v>822528.29</v>
      </c>
      <c r="K26" s="87">
        <f t="shared" si="15"/>
        <v>902501.09</v>
      </c>
      <c r="L26" s="117">
        <v>756817.67</v>
      </c>
      <c r="M26" s="117">
        <f>28646.1</f>
        <v>28646.1</v>
      </c>
      <c r="N26" s="119">
        <v>4748.12</v>
      </c>
      <c r="O26" s="117"/>
      <c r="P26" s="223">
        <v>112289.2</v>
      </c>
      <c r="Q26" s="87">
        <f>SUM(R26:V26)</f>
        <v>484601.66</v>
      </c>
      <c r="R26" s="87">
        <v>399493.63</v>
      </c>
      <c r="S26" s="223">
        <f>49860.91-499.29</f>
        <v>49361.62</v>
      </c>
      <c r="T26" s="87">
        <v>4016.42</v>
      </c>
      <c r="U26" s="87">
        <v>5450</v>
      </c>
      <c r="V26" s="87">
        <v>26279.99</v>
      </c>
    </row>
    <row r="27" spans="1:22">
      <c r="A27" s="298"/>
      <c r="B27" s="86" t="str">
        <f>IF(L!$A$1=1,L!B200,IF(L!$A$1=2,L!C200,L!D200))</f>
        <v>2020 Shtator</v>
      </c>
      <c r="C27" s="87">
        <f t="shared" si="10"/>
        <v>3156116.8699999996</v>
      </c>
      <c r="D27" s="87">
        <f t="shared" si="11"/>
        <v>3156116.8699999996</v>
      </c>
      <c r="E27" s="214">
        <f t="shared" si="12"/>
        <v>1629618.94</v>
      </c>
      <c r="F27" s="116">
        <v>158923.01</v>
      </c>
      <c r="G27" s="116">
        <v>210743.36000000002</v>
      </c>
      <c r="H27" s="118">
        <v>24407.010000000002</v>
      </c>
      <c r="I27" s="116">
        <f>88386.88-1000</f>
        <v>87386.880000000005</v>
      </c>
      <c r="J27" s="116">
        <v>1148158.68</v>
      </c>
      <c r="K27" s="87">
        <f t="shared" ref="K27:K30" si="16">SUM(L27:P27)</f>
        <v>1242789.07</v>
      </c>
      <c r="L27" s="116">
        <v>876368.52</v>
      </c>
      <c r="M27" s="116">
        <v>32000.27</v>
      </c>
      <c r="N27" s="118">
        <v>31009</v>
      </c>
      <c r="O27" s="116"/>
      <c r="P27" s="116">
        <v>303411.28000000003</v>
      </c>
      <c r="Q27" s="87">
        <f t="shared" ref="Q27:Q30" si="17">SUM(R27:V27)</f>
        <v>283708.86</v>
      </c>
      <c r="R27" s="87">
        <v>259170.18</v>
      </c>
      <c r="S27" s="87">
        <v>21263.25</v>
      </c>
      <c r="T27" s="87">
        <v>3175.43</v>
      </c>
      <c r="U27" s="87">
        <v>100</v>
      </c>
      <c r="V27" s="87"/>
    </row>
    <row r="28" spans="1:22">
      <c r="A28" s="299"/>
      <c r="B28" s="86" t="str">
        <f>IF(L!$A$1=1,L!B201,IF(L!$A$1=2,L!C201,L!D201))</f>
        <v>2020 Tetor</v>
      </c>
      <c r="C28" s="87">
        <f t="shared" si="10"/>
        <v>3670884.3800000004</v>
      </c>
      <c r="D28" s="87">
        <f t="shared" si="11"/>
        <v>3670884.3800000004</v>
      </c>
      <c r="E28" s="214">
        <f t="shared" si="12"/>
        <v>2286318.7300000004</v>
      </c>
      <c r="F28" s="223">
        <v>159390</v>
      </c>
      <c r="G28" s="116">
        <v>749987.83000000007</v>
      </c>
      <c r="H28" s="118">
        <v>35188.28</v>
      </c>
      <c r="I28" s="116">
        <v>64108</v>
      </c>
      <c r="J28" s="116">
        <v>1277644.6200000001</v>
      </c>
      <c r="K28" s="87">
        <f t="shared" si="16"/>
        <v>1087939.1300000001</v>
      </c>
      <c r="L28" s="87">
        <f>814846.4+1549.81</f>
        <v>816396.21000000008</v>
      </c>
      <c r="M28" s="213">
        <f>26253.02+85352.75</f>
        <v>111605.77</v>
      </c>
      <c r="N28" s="263">
        <v>12667.25</v>
      </c>
      <c r="O28" s="213"/>
      <c r="P28" s="213">
        <v>147269.9</v>
      </c>
      <c r="Q28" s="87">
        <f t="shared" si="17"/>
        <v>296626.52</v>
      </c>
      <c r="R28" s="87">
        <v>230806.5</v>
      </c>
      <c r="S28" s="262">
        <v>50406.33</v>
      </c>
      <c r="T28" s="87">
        <v>8683.69</v>
      </c>
      <c r="U28" s="87">
        <v>5100</v>
      </c>
      <c r="V28" s="87">
        <v>1630</v>
      </c>
    </row>
    <row r="29" spans="1:22">
      <c r="A29" s="299"/>
      <c r="B29" s="86" t="str">
        <f>IF(L!$A$1=1,L!B202,IF(L!$A$1=2,L!C202,L!D202))</f>
        <v xml:space="preserve">2020 Nëntor </v>
      </c>
      <c r="C29" s="87">
        <f t="shared" si="10"/>
        <v>3076088.62</v>
      </c>
      <c r="D29" s="87">
        <f t="shared" si="11"/>
        <v>3076088.62</v>
      </c>
      <c r="E29" s="214">
        <f t="shared" si="12"/>
        <v>1657234.88</v>
      </c>
      <c r="F29" s="220">
        <v>206082.51</v>
      </c>
      <c r="G29" s="221">
        <v>264612.21999999997</v>
      </c>
      <c r="H29" s="118">
        <v>30903.17</v>
      </c>
      <c r="I29" s="116">
        <v>26039.200000000001</v>
      </c>
      <c r="J29" s="116">
        <v>1129597.7799999998</v>
      </c>
      <c r="K29" s="87">
        <f t="shared" si="16"/>
        <v>929798.45</v>
      </c>
      <c r="L29" s="87">
        <v>755926.18</v>
      </c>
      <c r="M29" s="87">
        <v>56879.06</v>
      </c>
      <c r="N29" s="118">
        <v>6925.11</v>
      </c>
      <c r="O29" s="87"/>
      <c r="P29" s="292">
        <v>110068.1</v>
      </c>
      <c r="Q29" s="87">
        <f t="shared" si="17"/>
        <v>489055.29</v>
      </c>
      <c r="R29" s="223">
        <v>417301.56</v>
      </c>
      <c r="S29" s="87">
        <v>65693.899999999994</v>
      </c>
      <c r="T29" s="87">
        <v>6059.83</v>
      </c>
      <c r="U29" s="87"/>
      <c r="V29" s="261"/>
    </row>
    <row r="30" spans="1:22">
      <c r="A30" s="299"/>
      <c r="B30" s="86" t="str">
        <f>IF(L!$A$1=1,L!B203,IF(L!$A$1=2,L!C203,L!D203))</f>
        <v>2020 Dhjetor</v>
      </c>
      <c r="C30" s="87">
        <f t="shared" si="10"/>
        <v>3837691.7</v>
      </c>
      <c r="D30" s="87">
        <f t="shared" ref="D30" si="18">+E30+K30+Q30</f>
        <v>3837691.7</v>
      </c>
      <c r="E30" s="214">
        <f t="shared" si="12"/>
        <v>1945634.42</v>
      </c>
      <c r="F30" s="123">
        <f>144775.59+20667.68</f>
        <v>165443.26999999999</v>
      </c>
      <c r="G30" s="87">
        <f>128393.2+16063.04</f>
        <v>144456.24</v>
      </c>
      <c r="H30" s="118">
        <v>98386.26</v>
      </c>
      <c r="I30" s="87">
        <v>74879.740000000005</v>
      </c>
      <c r="J30" s="87">
        <v>1462468.91</v>
      </c>
      <c r="K30" s="87">
        <f t="shared" si="16"/>
        <v>1297468.3500000001</v>
      </c>
      <c r="L30" s="87">
        <v>771473.75</v>
      </c>
      <c r="M30" s="87">
        <v>325149.39</v>
      </c>
      <c r="N30" s="118">
        <v>60841.58</v>
      </c>
      <c r="O30" s="87"/>
      <c r="P30" s="87">
        <v>140003.63</v>
      </c>
      <c r="Q30" s="87">
        <f t="shared" si="17"/>
        <v>594588.92999999993</v>
      </c>
      <c r="R30" s="87">
        <f>329351+9585.06</f>
        <v>338936.06</v>
      </c>
      <c r="S30" s="87">
        <v>55982.35</v>
      </c>
      <c r="T30" s="87">
        <v>26564.49</v>
      </c>
      <c r="U30" s="87">
        <v>150</v>
      </c>
      <c r="V30" s="87">
        <v>172956.03</v>
      </c>
    </row>
    <row r="31" spans="1:22">
      <c r="A31" s="300"/>
      <c r="B31" s="88" t="str">
        <f>IF(L!$A$1=1,L!B204,IF(L!$A$1=2,L!C204,L!D204))</f>
        <v>Gjithsej 2020</v>
      </c>
      <c r="C31" s="89">
        <f t="shared" si="10"/>
        <v>29729927.719999999</v>
      </c>
      <c r="D31" s="90">
        <f>SUM(D19:D30)</f>
        <v>29729927.719999999</v>
      </c>
      <c r="E31" s="90">
        <f t="shared" ref="E31:V31" si="19">SUM(E19:E30)</f>
        <v>13684848.869999999</v>
      </c>
      <c r="F31" s="90">
        <f t="shared" si="19"/>
        <v>2035141.6700000002</v>
      </c>
      <c r="G31" s="90">
        <f t="shared" si="19"/>
        <v>2493685.17</v>
      </c>
      <c r="H31" s="90">
        <f t="shared" si="19"/>
        <v>452664.76000000007</v>
      </c>
      <c r="I31" s="90">
        <f t="shared" si="19"/>
        <v>446645.31</v>
      </c>
      <c r="J31" s="90">
        <f t="shared" si="19"/>
        <v>8256711.959999999</v>
      </c>
      <c r="K31" s="90">
        <f t="shared" si="19"/>
        <v>11717442.689999999</v>
      </c>
      <c r="L31" s="90">
        <f t="shared" si="19"/>
        <v>9320015.1899999995</v>
      </c>
      <c r="M31" s="90">
        <f t="shared" si="19"/>
        <v>1020040.7300000001</v>
      </c>
      <c r="N31" s="90">
        <f t="shared" si="19"/>
        <v>165186.89000000001</v>
      </c>
      <c r="O31" s="90">
        <f t="shared" si="19"/>
        <v>0</v>
      </c>
      <c r="P31" s="90">
        <f t="shared" si="19"/>
        <v>1212199.8799999999</v>
      </c>
      <c r="Q31" s="90">
        <f t="shared" si="19"/>
        <v>4327636.16</v>
      </c>
      <c r="R31" s="90">
        <f t="shared" si="19"/>
        <v>3335613.0100000002</v>
      </c>
      <c r="S31" s="90">
        <f t="shared" si="19"/>
        <v>618383.11</v>
      </c>
      <c r="T31" s="90">
        <f t="shared" si="19"/>
        <v>108619.52</v>
      </c>
      <c r="U31" s="90">
        <f t="shared" si="19"/>
        <v>25000</v>
      </c>
      <c r="V31" s="90">
        <f t="shared" si="19"/>
        <v>240020.52000000002</v>
      </c>
    </row>
    <row r="32" spans="1:22">
      <c r="A32" s="298">
        <v>2021</v>
      </c>
      <c r="B32" s="86" t="str">
        <f>IF(L!$A$1=1,L!B205,IF(L!$A$1=2,L!C205,L!D205))</f>
        <v>2021 Janar</v>
      </c>
      <c r="C32" s="118">
        <f t="shared" ref="C32:C44" si="20">E32+K32+Q32</f>
        <v>1560791.06</v>
      </c>
      <c r="D32" s="118">
        <f t="shared" ref="D32:D43" si="21">+E32+K32+Q32</f>
        <v>1560791.06</v>
      </c>
      <c r="E32" s="214">
        <f t="shared" ref="E32:E43" si="22">+F32+G32+H32+I32+J32</f>
        <v>157014.99000000005</v>
      </c>
      <c r="F32" s="215">
        <v>157014.99000000005</v>
      </c>
      <c r="G32" s="215"/>
      <c r="H32" s="264"/>
      <c r="I32" s="215"/>
      <c r="J32" s="75"/>
      <c r="K32" s="190">
        <f t="shared" ref="K32" si="23">SUM(L32:P32)</f>
        <v>1119202.47</v>
      </c>
      <c r="L32" s="191">
        <v>1119202.47</v>
      </c>
      <c r="M32" s="271"/>
      <c r="N32" s="275"/>
      <c r="O32" s="276"/>
      <c r="P32" s="276"/>
      <c r="Q32" s="277">
        <f t="shared" ref="Q32:Q37" si="24">SUM(R32:V32)</f>
        <v>284573.59999999998</v>
      </c>
      <c r="R32" s="190">
        <v>284573.59999999998</v>
      </c>
      <c r="S32" s="118"/>
      <c r="T32" s="186"/>
      <c r="U32" s="118"/>
      <c r="V32" s="118"/>
    </row>
    <row r="33" spans="1:22">
      <c r="A33" s="298"/>
      <c r="B33" s="86" t="str">
        <f>IF(L!$A$1=1,L!B206,IF(L!$A$1=2,L!C206,L!D206))</f>
        <v>2021 Shkurt</v>
      </c>
      <c r="C33" s="87">
        <f t="shared" si="20"/>
        <v>1405836.2</v>
      </c>
      <c r="D33" s="118">
        <f t="shared" si="21"/>
        <v>1405836.2</v>
      </c>
      <c r="E33" s="214">
        <f t="shared" si="22"/>
        <v>174874.68</v>
      </c>
      <c r="F33" s="223">
        <v>165145.57999999999</v>
      </c>
      <c r="G33" s="217">
        <v>9729.1</v>
      </c>
      <c r="H33" s="265"/>
      <c r="I33" s="217"/>
      <c r="J33" s="216"/>
      <c r="K33" s="87">
        <f t="shared" ref="K33" si="25">SUM(L33:P33)</f>
        <v>935024.09</v>
      </c>
      <c r="L33" s="190">
        <v>935024.09</v>
      </c>
      <c r="M33" s="272"/>
      <c r="N33" s="278"/>
      <c r="O33" s="279"/>
      <c r="P33" s="276"/>
      <c r="Q33" s="280">
        <f t="shared" si="24"/>
        <v>295937.43</v>
      </c>
      <c r="R33" s="118">
        <v>295937.43</v>
      </c>
      <c r="S33" s="187"/>
      <c r="T33" s="223"/>
      <c r="U33" s="187"/>
      <c r="V33" s="118"/>
    </row>
    <row r="34" spans="1:22">
      <c r="A34" s="298"/>
      <c r="B34" s="86" t="str">
        <f>IF(L!$A$1=1,L!B207,IF(L!$A$1=2,L!C207,L!D207))</f>
        <v xml:space="preserve">2021 Mars </v>
      </c>
      <c r="C34" s="87">
        <f t="shared" si="20"/>
        <v>0</v>
      </c>
      <c r="D34" s="87">
        <f t="shared" si="21"/>
        <v>0</v>
      </c>
      <c r="E34" s="214">
        <f t="shared" si="22"/>
        <v>0</v>
      </c>
      <c r="F34" s="215"/>
      <c r="G34" s="223"/>
      <c r="H34" s="266"/>
      <c r="I34" s="217"/>
      <c r="J34" s="216"/>
      <c r="K34" s="87">
        <f>SUM(L34:P34)</f>
        <v>0</v>
      </c>
      <c r="L34" s="190"/>
      <c r="M34" s="273"/>
      <c r="N34" s="281"/>
      <c r="O34" s="279"/>
      <c r="P34" s="282"/>
      <c r="Q34" s="280">
        <f t="shared" si="24"/>
        <v>0</v>
      </c>
      <c r="R34" s="118"/>
      <c r="S34" s="223"/>
      <c r="T34" s="187"/>
      <c r="U34" s="187"/>
      <c r="V34" s="118"/>
    </row>
    <row r="35" spans="1:22">
      <c r="A35" s="298"/>
      <c r="B35" s="86" t="str">
        <f>IF(L!$A$1=1,L!B208,IF(L!$A$1=2,L!C208,L!D208))</f>
        <v>2021 Prill</v>
      </c>
      <c r="C35" s="87">
        <f t="shared" si="20"/>
        <v>0</v>
      </c>
      <c r="D35" s="87">
        <f t="shared" si="21"/>
        <v>0</v>
      </c>
      <c r="E35" s="214">
        <f t="shared" si="22"/>
        <v>0</v>
      </c>
      <c r="F35" s="223"/>
      <c r="G35" s="215"/>
      <c r="H35" s="264"/>
      <c r="I35" s="215"/>
      <c r="J35" s="216"/>
      <c r="K35" s="87">
        <f t="shared" ref="K35:K43" si="26">SUM(L35:P35)</f>
        <v>0</v>
      </c>
      <c r="L35" s="190"/>
      <c r="M35" s="274"/>
      <c r="N35" s="283"/>
      <c r="O35" s="283"/>
      <c r="P35" s="283"/>
      <c r="Q35" s="280">
        <f t="shared" si="24"/>
        <v>0</v>
      </c>
      <c r="R35" s="269"/>
      <c r="S35" s="118"/>
      <c r="T35" s="223"/>
      <c r="U35" s="118"/>
      <c r="V35" s="118"/>
    </row>
    <row r="36" spans="1:22">
      <c r="A36" s="298"/>
      <c r="B36" s="86" t="str">
        <f>IF(L!$A$1=1,L!B209,IF(L!$A$1=2,L!C209,L!D209))</f>
        <v>2021 Maj</v>
      </c>
      <c r="C36" s="87">
        <f t="shared" si="20"/>
        <v>0</v>
      </c>
      <c r="D36" s="87">
        <f t="shared" si="21"/>
        <v>0</v>
      </c>
      <c r="E36" s="214">
        <f t="shared" si="22"/>
        <v>0</v>
      </c>
      <c r="F36" s="218"/>
      <c r="G36" s="218"/>
      <c r="H36" s="232"/>
      <c r="I36" s="218"/>
      <c r="J36" s="219"/>
      <c r="K36" s="87">
        <f t="shared" si="26"/>
        <v>0</v>
      </c>
      <c r="L36" s="118"/>
      <c r="M36" s="271"/>
      <c r="N36" s="284"/>
      <c r="O36" s="276"/>
      <c r="P36" s="276"/>
      <c r="Q36" s="280">
        <f t="shared" si="24"/>
        <v>0</v>
      </c>
      <c r="R36" s="118"/>
      <c r="S36" s="223"/>
      <c r="T36" s="118"/>
      <c r="U36" s="118"/>
      <c r="V36" s="223"/>
    </row>
    <row r="37" spans="1:22">
      <c r="A37" s="298"/>
      <c r="B37" s="86" t="str">
        <f>IF(L!$A$1=1,L!B210,IF(L!$A$1=2,L!C210,L!D210))</f>
        <v>2021 Qershor</v>
      </c>
      <c r="C37" s="87">
        <f t="shared" si="20"/>
        <v>0</v>
      </c>
      <c r="D37" s="87">
        <f t="shared" si="21"/>
        <v>0</v>
      </c>
      <c r="E37" s="214">
        <f t="shared" si="22"/>
        <v>0</v>
      </c>
      <c r="F37" s="218"/>
      <c r="G37" s="218"/>
      <c r="H37" s="232"/>
      <c r="I37" s="218"/>
      <c r="J37"/>
      <c r="K37" s="87">
        <f t="shared" si="26"/>
        <v>0</v>
      </c>
      <c r="L37" s="118"/>
      <c r="M37" s="271"/>
      <c r="N37" s="285"/>
      <c r="O37" s="285"/>
      <c r="P37" s="285"/>
      <c r="Q37" s="286">
        <f t="shared" si="24"/>
        <v>0</v>
      </c>
      <c r="R37" s="118"/>
      <c r="S37" s="118"/>
      <c r="T37" s="118"/>
      <c r="U37" s="118"/>
      <c r="V37" s="118"/>
    </row>
    <row r="38" spans="1:22">
      <c r="A38" s="298"/>
      <c r="B38" s="86" t="str">
        <f>IF(L!$A$1=1,L!B211,IF(L!$A$1=2,L!C211,L!D211))</f>
        <v>2021 Korrik</v>
      </c>
      <c r="C38" s="87">
        <f t="shared" si="20"/>
        <v>0</v>
      </c>
      <c r="D38" s="87">
        <f t="shared" si="21"/>
        <v>0</v>
      </c>
      <c r="E38" s="214">
        <f t="shared" si="22"/>
        <v>0</v>
      </c>
      <c r="F38" s="186"/>
      <c r="G38" s="232"/>
      <c r="H38" s="232"/>
      <c r="I38" s="186"/>
      <c r="J38" s="233"/>
      <c r="K38" s="87">
        <f t="shared" si="26"/>
        <v>0</v>
      </c>
      <c r="L38" s="118"/>
      <c r="M38" s="118"/>
      <c r="N38" s="118"/>
      <c r="O38" s="118"/>
      <c r="P38" s="190"/>
      <c r="Q38" s="87">
        <f>SUM(R38:V38)</f>
        <v>0</v>
      </c>
      <c r="R38" s="87"/>
      <c r="S38" s="87"/>
      <c r="T38" s="87"/>
      <c r="U38" s="87"/>
      <c r="V38" s="120"/>
    </row>
    <row r="39" spans="1:22">
      <c r="A39" s="298"/>
      <c r="B39" s="86" t="str">
        <f>IF(L!$A$1=1,L!B212,IF(L!$A$1=2,L!C212,L!D212))</f>
        <v>2021 Gusht</v>
      </c>
      <c r="C39" s="87">
        <f t="shared" si="20"/>
        <v>0</v>
      </c>
      <c r="D39" s="87">
        <f t="shared" si="21"/>
        <v>0</v>
      </c>
      <c r="E39" s="214">
        <f t="shared" si="22"/>
        <v>0</v>
      </c>
      <c r="F39" s="116"/>
      <c r="G39" s="116"/>
      <c r="H39" s="118"/>
      <c r="I39" s="116"/>
      <c r="J39" s="219"/>
      <c r="K39" s="87">
        <f t="shared" si="26"/>
        <v>0</v>
      </c>
      <c r="L39" s="117"/>
      <c r="M39" s="117"/>
      <c r="N39" s="119"/>
      <c r="O39" s="117"/>
      <c r="P39" s="223"/>
      <c r="Q39" s="87">
        <f>SUM(R39:V39)</f>
        <v>0</v>
      </c>
      <c r="R39" s="87"/>
      <c r="S39" s="223"/>
      <c r="T39" s="87"/>
      <c r="U39" s="87"/>
      <c r="V39" s="87"/>
    </row>
    <row r="40" spans="1:22">
      <c r="A40" s="298"/>
      <c r="B40" s="86" t="str">
        <f>IF(L!$A$1=1,L!B213,IF(L!$A$1=2,L!C213,L!D213))</f>
        <v>2021 Shtator</v>
      </c>
      <c r="C40" s="87">
        <f t="shared" si="20"/>
        <v>0</v>
      </c>
      <c r="D40" s="87">
        <f t="shared" si="21"/>
        <v>0</v>
      </c>
      <c r="E40" s="214">
        <f t="shared" si="22"/>
        <v>0</v>
      </c>
      <c r="F40" s="116"/>
      <c r="G40" s="116"/>
      <c r="H40" s="118"/>
      <c r="I40" s="116"/>
      <c r="J40" s="116"/>
      <c r="K40" s="87">
        <f t="shared" si="26"/>
        <v>0</v>
      </c>
      <c r="L40" s="116"/>
      <c r="M40" s="116"/>
      <c r="N40" s="118"/>
      <c r="O40" s="116"/>
      <c r="P40" s="116"/>
      <c r="Q40" s="87">
        <f t="shared" ref="Q40:Q43" si="27">SUM(R40:V40)</f>
        <v>0</v>
      </c>
      <c r="R40" s="87"/>
      <c r="S40" s="87"/>
      <c r="T40" s="87"/>
      <c r="U40" s="87"/>
      <c r="V40" s="87"/>
    </row>
    <row r="41" spans="1:22">
      <c r="A41" s="299"/>
      <c r="B41" s="86" t="str">
        <f>IF(L!$A$1=1,L!B214,IF(L!$A$1=2,L!C214,L!D214))</f>
        <v>2021 Tetor</v>
      </c>
      <c r="C41" s="87">
        <f t="shared" si="20"/>
        <v>0</v>
      </c>
      <c r="D41" s="87">
        <f t="shared" si="21"/>
        <v>0</v>
      </c>
      <c r="E41" s="214">
        <f t="shared" si="22"/>
        <v>0</v>
      </c>
      <c r="F41" s="223"/>
      <c r="G41" s="116"/>
      <c r="H41" s="118"/>
      <c r="I41" s="116"/>
      <c r="J41" s="116"/>
      <c r="K41" s="87">
        <f t="shared" si="26"/>
        <v>0</v>
      </c>
      <c r="L41" s="87"/>
      <c r="M41" s="213"/>
      <c r="N41" s="263"/>
      <c r="O41" s="213"/>
      <c r="P41" s="213"/>
      <c r="Q41" s="87">
        <f t="shared" si="27"/>
        <v>0</v>
      </c>
      <c r="R41" s="87"/>
      <c r="S41" s="262"/>
      <c r="T41" s="87"/>
      <c r="U41" s="87"/>
      <c r="V41" s="87"/>
    </row>
    <row r="42" spans="1:22">
      <c r="A42" s="299"/>
      <c r="B42" s="86" t="str">
        <f>IF(L!$A$1=1,L!B215,IF(L!$A$1=2,L!C215,L!D215))</f>
        <v xml:space="preserve">2021 Nëntor </v>
      </c>
      <c r="C42" s="87">
        <f t="shared" si="20"/>
        <v>0</v>
      </c>
      <c r="D42" s="87">
        <f t="shared" si="21"/>
        <v>0</v>
      </c>
      <c r="E42" s="214">
        <f t="shared" si="22"/>
        <v>0</v>
      </c>
      <c r="F42" s="220"/>
      <c r="G42" s="221"/>
      <c r="H42" s="118"/>
      <c r="I42" s="116"/>
      <c r="J42" s="116"/>
      <c r="K42" s="87">
        <f t="shared" si="26"/>
        <v>0</v>
      </c>
      <c r="L42" s="87"/>
      <c r="M42" s="87"/>
      <c r="N42" s="118"/>
      <c r="O42" s="87"/>
      <c r="P42" s="292"/>
      <c r="Q42" s="87">
        <f t="shared" si="27"/>
        <v>0</v>
      </c>
      <c r="R42" s="223"/>
      <c r="S42" s="87"/>
      <c r="T42" s="87"/>
      <c r="U42" s="87"/>
      <c r="V42" s="261"/>
    </row>
    <row r="43" spans="1:22">
      <c r="A43" s="299"/>
      <c r="B43" s="86" t="str">
        <f>IF(L!$A$1=1,L!B216,IF(L!$A$1=2,L!C216,L!D216))</f>
        <v>2021 Dhjetor</v>
      </c>
      <c r="C43" s="87">
        <f t="shared" si="20"/>
        <v>0</v>
      </c>
      <c r="D43" s="87">
        <f t="shared" si="21"/>
        <v>0</v>
      </c>
      <c r="E43" s="214">
        <f t="shared" si="22"/>
        <v>0</v>
      </c>
      <c r="F43" s="123"/>
      <c r="G43" s="87"/>
      <c r="H43" s="118"/>
      <c r="I43" s="87"/>
      <c r="J43" s="87"/>
      <c r="K43" s="87">
        <f t="shared" si="26"/>
        <v>0</v>
      </c>
      <c r="L43" s="87"/>
      <c r="M43" s="87"/>
      <c r="N43" s="118"/>
      <c r="O43" s="87"/>
      <c r="P43" s="87"/>
      <c r="Q43" s="87">
        <f t="shared" si="27"/>
        <v>0</v>
      </c>
      <c r="R43" s="87"/>
      <c r="S43" s="87"/>
      <c r="T43" s="87"/>
      <c r="U43" s="87"/>
      <c r="V43" s="87"/>
    </row>
    <row r="44" spans="1:22">
      <c r="A44" s="300"/>
      <c r="B44" s="88" t="str">
        <f>IF(L!$A$1=1,L!B217,IF(L!$A$1=2,L!C217,L!D217))</f>
        <v>Gjithsej 2021</v>
      </c>
      <c r="C44" s="89">
        <f t="shared" si="20"/>
        <v>2966627.26</v>
      </c>
      <c r="D44" s="90">
        <f>SUM(D32:D43)</f>
        <v>2966627.26</v>
      </c>
      <c r="E44" s="90">
        <f t="shared" ref="E44:V44" si="28">SUM(E32:E43)</f>
        <v>331889.67000000004</v>
      </c>
      <c r="F44" s="90">
        <f t="shared" si="28"/>
        <v>322160.57000000007</v>
      </c>
      <c r="G44" s="90">
        <f t="shared" si="28"/>
        <v>9729.1</v>
      </c>
      <c r="H44" s="90">
        <f t="shared" si="28"/>
        <v>0</v>
      </c>
      <c r="I44" s="90">
        <f t="shared" si="28"/>
        <v>0</v>
      </c>
      <c r="J44" s="90">
        <f t="shared" si="28"/>
        <v>0</v>
      </c>
      <c r="K44" s="90">
        <f t="shared" si="28"/>
        <v>2054226.56</v>
      </c>
      <c r="L44" s="90">
        <f t="shared" si="28"/>
        <v>2054226.56</v>
      </c>
      <c r="M44" s="90">
        <f t="shared" si="28"/>
        <v>0</v>
      </c>
      <c r="N44" s="90">
        <f t="shared" si="28"/>
        <v>0</v>
      </c>
      <c r="O44" s="90">
        <f t="shared" si="28"/>
        <v>0</v>
      </c>
      <c r="P44" s="90">
        <f t="shared" si="28"/>
        <v>0</v>
      </c>
      <c r="Q44" s="90">
        <f t="shared" si="28"/>
        <v>580511.03</v>
      </c>
      <c r="R44" s="90">
        <f t="shared" si="28"/>
        <v>580511.03</v>
      </c>
      <c r="S44" s="90">
        <f t="shared" si="28"/>
        <v>0</v>
      </c>
      <c r="T44" s="90">
        <f t="shared" si="28"/>
        <v>0</v>
      </c>
      <c r="U44" s="90">
        <f t="shared" si="28"/>
        <v>0</v>
      </c>
      <c r="V44" s="90">
        <f t="shared" si="28"/>
        <v>0</v>
      </c>
    </row>
    <row r="50" spans="9:9">
      <c r="I50" s="71">
        <f>26*6</f>
        <v>156</v>
      </c>
    </row>
  </sheetData>
  <mergeCells count="6">
    <mergeCell ref="A32:A44"/>
    <mergeCell ref="A19:A31"/>
    <mergeCell ref="A6:A18"/>
    <mergeCell ref="D1:D2"/>
    <mergeCell ref="B3:B5"/>
    <mergeCell ref="A3:A5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view="pageBreakPreview" zoomScale="70" zoomScaleNormal="80" zoomScaleSheetLayoutView="70" workbookViewId="0">
      <pane xSplit="2" ySplit="3" topLeftCell="C64" activePane="bottomRight" state="frozen"/>
      <selection pane="topRight" activeCell="C1" sqref="C1"/>
      <selection pane="bottomLeft" activeCell="A9" sqref="A9"/>
      <selection pane="bottomRight" activeCell="J100" sqref="J100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28515625" style="1" customWidth="1"/>
    <col min="4" max="4" width="14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25.28515625" style="14" customWidth="1"/>
    <col min="14" max="14" width="27.7109375" style="1" customWidth="1"/>
    <col min="15" max="16384" width="9.140625" style="1"/>
  </cols>
  <sheetData>
    <row r="1" spans="1:13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  <c r="M1" s="9"/>
    </row>
    <row r="2" spans="1:13" s="3" customFormat="1" ht="17.25" customHeight="1">
      <c r="A2" s="94" t="s">
        <v>876</v>
      </c>
      <c r="B2" s="95"/>
      <c r="C2" s="9"/>
      <c r="D2" s="9"/>
      <c r="E2" s="10"/>
      <c r="F2" s="10"/>
      <c r="G2" s="9"/>
      <c r="H2" s="9"/>
      <c r="I2" s="9"/>
      <c r="J2" s="9"/>
      <c r="K2" s="9"/>
      <c r="L2" s="9"/>
      <c r="M2" s="9"/>
    </row>
    <row r="3" spans="1:13" s="2" customFormat="1" ht="82.5" customHeight="1">
      <c r="A3" s="96" t="str">
        <f>IF(L!$A$1=1,L!G8,IF(L!$A$1=2,L!G18,L!G28))</f>
        <v>Viti</v>
      </c>
      <c r="B3" s="96" t="str">
        <f>IF(L!$A$1=1,L!H8,IF(L!$A$1=2,L!H18,L!H28))</f>
        <v>Viti / Muaji</v>
      </c>
      <c r="C3" s="9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98" t="s">
        <v>870</v>
      </c>
      <c r="F3" s="99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  <c r="M3" s="234"/>
    </row>
    <row r="4" spans="1:13">
      <c r="A4" s="306">
        <v>2015</v>
      </c>
      <c r="B4" s="8" t="str">
        <f>IF(L!$A$1=1,L!B127,IF(L!$A$1=2,L!C127,L!D127))</f>
        <v>2015 Janar</v>
      </c>
      <c r="C4" s="149">
        <f>SUM(D4:L4)</f>
        <v>193909.3</v>
      </c>
      <c r="D4" s="125">
        <v>80138.490000000005</v>
      </c>
      <c r="E4" s="125">
        <v>3026.65</v>
      </c>
      <c r="F4" s="150">
        <v>5530</v>
      </c>
      <c r="G4" s="126">
        <f>9400.5-350</f>
        <v>9050.5</v>
      </c>
      <c r="H4" s="127">
        <v>20240</v>
      </c>
      <c r="I4" s="127">
        <v>8887.5</v>
      </c>
      <c r="J4" s="127">
        <v>7551</v>
      </c>
      <c r="K4" s="151">
        <v>32478</v>
      </c>
      <c r="L4" s="128">
        <f>193909.3-D4-E4-F4-G4-H4-I4-J4-K4</f>
        <v>27007.159999999989</v>
      </c>
    </row>
    <row r="5" spans="1:13">
      <c r="A5" s="307"/>
      <c r="B5" s="5" t="str">
        <f>IF(L!$A$1=1,L!B128,IF(L!$A$1=2,L!C128,L!D128))</f>
        <v>2015 Shkurt</v>
      </c>
      <c r="C5" s="152">
        <f t="shared" ref="C5:C42" si="0">SUM(D5:L5)</f>
        <v>152962.70000000001</v>
      </c>
      <c r="D5" s="129">
        <v>64151.74</v>
      </c>
      <c r="E5" s="130">
        <v>769</v>
      </c>
      <c r="F5" s="153">
        <v>9331.44</v>
      </c>
      <c r="G5" s="126">
        <f>5554+1108.5+241+2453+549.5+2819</f>
        <v>12725</v>
      </c>
      <c r="H5" s="127">
        <v>11735</v>
      </c>
      <c r="I5" s="131">
        <v>9476.5</v>
      </c>
      <c r="J5" s="132">
        <v>11238.9</v>
      </c>
      <c r="K5" s="154">
        <v>7510</v>
      </c>
      <c r="L5" s="128">
        <f>152962.7-D5-E5-F5-G5-H5-I5-J5-K5</f>
        <v>26025.120000000017</v>
      </c>
    </row>
    <row r="6" spans="1:13">
      <c r="A6" s="307"/>
      <c r="B6" s="5" t="str">
        <f>IF(L!$A$1=1,L!B129,IF(L!$A$1=2,L!C129,L!D129))</f>
        <v xml:space="preserve">2015 Mars </v>
      </c>
      <c r="C6" s="152">
        <f t="shared" si="0"/>
        <v>240882.19</v>
      </c>
      <c r="D6" s="155">
        <v>110834.76</v>
      </c>
      <c r="E6" s="155">
        <v>28377.69</v>
      </c>
      <c r="F6" s="153">
        <v>1041.48</v>
      </c>
      <c r="G6" s="156">
        <f>15391.5-610</f>
        <v>14781.5</v>
      </c>
      <c r="H6" s="133">
        <v>14265</v>
      </c>
      <c r="I6" s="131">
        <v>12994</v>
      </c>
      <c r="J6" s="157">
        <v>12901.9</v>
      </c>
      <c r="K6" s="154">
        <v>8540</v>
      </c>
      <c r="L6" s="128">
        <f>240882.19-D6-E6-F6-G6-H6-I6-J6-K6</f>
        <v>37145.860000000008</v>
      </c>
    </row>
    <row r="7" spans="1:13">
      <c r="A7" s="307"/>
      <c r="B7" s="5" t="str">
        <f>IF(L!$A$1=1,L!B130,IF(L!$A$1=2,L!C130,L!D130))</f>
        <v>2015 Prill</v>
      </c>
      <c r="C7" s="152">
        <f t="shared" si="0"/>
        <v>266054.55</v>
      </c>
      <c r="D7" s="155">
        <v>117169.74</v>
      </c>
      <c r="E7" s="134">
        <f>32552.4+2106.6</f>
        <v>34659</v>
      </c>
      <c r="F7" s="153">
        <v>15927.5</v>
      </c>
      <c r="G7" s="126">
        <f>6949+1576+469+3165+626+165.5</f>
        <v>12950.5</v>
      </c>
      <c r="H7" s="158">
        <v>12365</v>
      </c>
      <c r="I7" s="131">
        <f>17330+1260+12</f>
        <v>18602</v>
      </c>
      <c r="J7" s="132">
        <v>12233.8</v>
      </c>
      <c r="K7" s="154">
        <v>7280</v>
      </c>
      <c r="L7" s="128">
        <f>266054.55-D7-E7-F7-G7-H7-I7-J7-K7</f>
        <v>34867.009999999995</v>
      </c>
    </row>
    <row r="8" spans="1:13">
      <c r="A8" s="307"/>
      <c r="B8" s="5" t="str">
        <f>IF(L!$A$1=1,L!B131,IF(L!$A$1=2,L!C131,L!D131))</f>
        <v>2015 Maj</v>
      </c>
      <c r="C8" s="152">
        <f t="shared" si="0"/>
        <v>251769.24</v>
      </c>
      <c r="D8" s="134">
        <v>92670.399999999994</v>
      </c>
      <c r="E8" s="134">
        <f>49711.39-2106.6</f>
        <v>47604.79</v>
      </c>
      <c r="F8" s="153">
        <v>20304.599999999999</v>
      </c>
      <c r="G8" s="135">
        <f>11980.5-460</f>
        <v>11520.5</v>
      </c>
      <c r="H8" s="136">
        <v>11134.44</v>
      </c>
      <c r="I8" s="136">
        <v>16579.5</v>
      </c>
      <c r="J8" s="132">
        <v>11155.3</v>
      </c>
      <c r="K8" s="154">
        <v>7800</v>
      </c>
      <c r="L8" s="128">
        <f>251769.24-D8-E8-F8-G8-H8-I8-J8-K8</f>
        <v>32999.709999999977</v>
      </c>
    </row>
    <row r="9" spans="1:13">
      <c r="A9" s="307"/>
      <c r="B9" s="5" t="str">
        <f>IF(L!$A$1=1,L!B132,IF(L!$A$1=2,L!C132,L!D132))</f>
        <v>2015 Qershor</v>
      </c>
      <c r="C9" s="152">
        <f t="shared" si="0"/>
        <v>459041.71</v>
      </c>
      <c r="D9" s="155">
        <v>171916.1</v>
      </c>
      <c r="E9" s="155">
        <f>23233-793</f>
        <v>22440</v>
      </c>
      <c r="F9" s="150">
        <v>2356.3000000000002</v>
      </c>
      <c r="G9" s="156">
        <f>13085.5</f>
        <v>13085.5</v>
      </c>
      <c r="H9" s="137">
        <f>11761+143100</f>
        <v>154861</v>
      </c>
      <c r="I9" s="157">
        <v>15638.5</v>
      </c>
      <c r="J9" s="157">
        <f>7844.7-969.5</f>
        <v>6875.2</v>
      </c>
      <c r="K9" s="154">
        <v>32207</v>
      </c>
      <c r="L9" s="128">
        <f>459041.71-D9-E9-F9-G9-H9-I9-J9-K9</f>
        <v>39662.11</v>
      </c>
    </row>
    <row r="10" spans="1:13">
      <c r="A10" s="307"/>
      <c r="B10" s="5" t="str">
        <f>IF(L!$A$1=1,L!B133,IF(L!$A$1=2,L!C133,L!D133))</f>
        <v>2015 Korrik</v>
      </c>
      <c r="C10" s="152">
        <f t="shared" si="0"/>
        <v>296124.09999999998</v>
      </c>
      <c r="D10" s="155">
        <v>142582.70000000001</v>
      </c>
      <c r="E10" s="155">
        <v>33174.199999999997</v>
      </c>
      <c r="F10" s="153">
        <v>31084</v>
      </c>
      <c r="G10" s="156">
        <f>14017-540</f>
        <v>13477</v>
      </c>
      <c r="H10" s="138">
        <v>16033.5</v>
      </c>
      <c r="I10" s="157">
        <v>18527</v>
      </c>
      <c r="J10" s="157">
        <v>10814</v>
      </c>
      <c r="K10" s="154">
        <v>3705</v>
      </c>
      <c r="L10" s="128">
        <f>296124.1-D10-E10-F10-G10-H10-I10-J10-K10</f>
        <v>26726.699999999968</v>
      </c>
    </row>
    <row r="11" spans="1:13">
      <c r="A11" s="307"/>
      <c r="B11" s="5" t="str">
        <f>IF(L!$A$1=1,L!B134,IF(L!$A$1=2,L!C134,L!D134))</f>
        <v>2015 Gusht</v>
      </c>
      <c r="C11" s="152">
        <f t="shared" si="0"/>
        <v>287806.2</v>
      </c>
      <c r="D11" s="129">
        <v>120816.1</v>
      </c>
      <c r="E11" s="130">
        <f>45500.9+2253</f>
        <v>47753.9</v>
      </c>
      <c r="F11" s="153">
        <v>17926.2</v>
      </c>
      <c r="G11" s="139">
        <f>15848.5-550</f>
        <v>15298.5</v>
      </c>
      <c r="H11" s="159">
        <v>19606</v>
      </c>
      <c r="I11" s="131">
        <v>17843</v>
      </c>
      <c r="J11" s="132">
        <v>10232.5</v>
      </c>
      <c r="K11" s="154">
        <v>5035</v>
      </c>
      <c r="L11" s="128">
        <f>287806.2-D11-E11-F11-G11-H11-I11-J11-K11</f>
        <v>33295.000000000015</v>
      </c>
    </row>
    <row r="12" spans="1:13">
      <c r="A12" s="307"/>
      <c r="B12" s="5" t="str">
        <f>IF(L!$A$1=1,L!B135,IF(L!$A$1=2,L!C135,L!D135))</f>
        <v>2015 Shtator</v>
      </c>
      <c r="C12" s="152">
        <f t="shared" si="0"/>
        <v>236324.72</v>
      </c>
      <c r="D12" s="140">
        <v>70778.06</v>
      </c>
      <c r="E12" s="141">
        <v>17526</v>
      </c>
      <c r="F12" s="153">
        <v>5775</v>
      </c>
      <c r="G12" s="160">
        <f>11236-520</f>
        <v>10716</v>
      </c>
      <c r="H12" s="142">
        <f>13600+54730</f>
        <v>68330</v>
      </c>
      <c r="I12" s="143">
        <v>15945</v>
      </c>
      <c r="J12" s="144">
        <v>10886.9</v>
      </c>
      <c r="K12" s="154">
        <v>8973</v>
      </c>
      <c r="L12" s="128">
        <f>236324.72-D12-E12-F12-G12-H12-I12-J12-K12</f>
        <v>27394.760000000002</v>
      </c>
    </row>
    <row r="13" spans="1:13">
      <c r="A13" s="307"/>
      <c r="B13" s="5" t="str">
        <f>IF(L!$A$1=1,L!B136,IF(L!$A$1=2,L!C136,L!D136))</f>
        <v>2015 Tetor</v>
      </c>
      <c r="C13" s="152">
        <f t="shared" si="0"/>
        <v>276207.13</v>
      </c>
      <c r="D13" s="129">
        <v>66369</v>
      </c>
      <c r="E13" s="130">
        <v>90804</v>
      </c>
      <c r="F13" s="153">
        <v>3087.5</v>
      </c>
      <c r="G13" s="161">
        <f>20807.5-G14</f>
        <v>9541.5</v>
      </c>
      <c r="H13" s="127">
        <v>13821</v>
      </c>
      <c r="I13" s="132">
        <v>14330</v>
      </c>
      <c r="J13" s="132">
        <v>10943.9</v>
      </c>
      <c r="K13" s="154">
        <v>9685</v>
      </c>
      <c r="L13" s="128">
        <f>276207.13-D13-E13-F13-G13-H13-I13-J13-K13</f>
        <v>57625.23000000001</v>
      </c>
    </row>
    <row r="14" spans="1:13">
      <c r="A14" s="307"/>
      <c r="B14" s="5" t="str">
        <f>IF(L!$A$1=1,L!B137,IF(L!$A$1=2,L!C137,L!D137))</f>
        <v xml:space="preserve">2015 Nëntor </v>
      </c>
      <c r="C14" s="152">
        <f t="shared" si="0"/>
        <v>232561.58</v>
      </c>
      <c r="D14" s="129">
        <v>81432.149999999994</v>
      </c>
      <c r="E14" s="130">
        <v>49209</v>
      </c>
      <c r="F14" s="153">
        <v>7861</v>
      </c>
      <c r="G14" s="139">
        <f>11785.8-365-154.8</f>
        <v>11266</v>
      </c>
      <c r="H14" s="162">
        <v>11190</v>
      </c>
      <c r="I14" s="131">
        <v>12555.5</v>
      </c>
      <c r="J14" s="132">
        <v>10162.9</v>
      </c>
      <c r="K14" s="154">
        <v>9115</v>
      </c>
      <c r="L14" s="128">
        <f>232561.58-D14-E14-F14-G14-H14-I14-J14-K14</f>
        <v>39770.029999999992</v>
      </c>
    </row>
    <row r="15" spans="1:13">
      <c r="A15" s="307"/>
      <c r="B15" s="5" t="str">
        <f>IF(L!$A$1=1,L!B138,IF(L!$A$1=2,L!C138,L!D138))</f>
        <v>2015 Dhjetor</v>
      </c>
      <c r="C15" s="152">
        <f t="shared" si="0"/>
        <v>443875.31000000006</v>
      </c>
      <c r="D15" s="129">
        <v>255517.62</v>
      </c>
      <c r="E15" s="130">
        <v>19390</v>
      </c>
      <c r="F15" s="153">
        <v>14453</v>
      </c>
      <c r="G15" s="139">
        <f>17365.5+6+36-2410</f>
        <v>14997.5</v>
      </c>
      <c r="H15" s="127">
        <f>6373+61857.52</f>
        <v>68230.51999999999</v>
      </c>
      <c r="I15" s="131">
        <v>15429</v>
      </c>
      <c r="J15" s="132">
        <v>15029.7</v>
      </c>
      <c r="K15" s="154">
        <v>11840</v>
      </c>
      <c r="L15" s="128">
        <f>443875.31-D15-E15-F15-G15-H15-I15-J15-K15</f>
        <v>28987.970000000016</v>
      </c>
    </row>
    <row r="16" spans="1:13">
      <c r="A16" s="307"/>
      <c r="B16" s="108" t="str">
        <f>IF(L!$A$1=1,L!B139,IF(L!$A$1=2,L!C139,L!D139))</f>
        <v>Gjithsej 2015</v>
      </c>
      <c r="C16" s="163">
        <f t="shared" si="0"/>
        <v>3337518.7299999995</v>
      </c>
      <c r="D16" s="164">
        <f>SUM(D4:D15)</f>
        <v>1374376.8599999999</v>
      </c>
      <c r="E16" s="164">
        <f>SUM(E4:E15)</f>
        <v>394734.23</v>
      </c>
      <c r="F16" s="164">
        <f t="shared" ref="F16:H16" si="1">SUM(F4:F15)</f>
        <v>134678.02000000002</v>
      </c>
      <c r="G16" s="164">
        <f t="shared" si="1"/>
        <v>149410</v>
      </c>
      <c r="H16" s="164">
        <f t="shared" si="1"/>
        <v>421811.45999999996</v>
      </c>
      <c r="I16" s="164">
        <f>SUM(I4:I15)</f>
        <v>176807.5</v>
      </c>
      <c r="J16" s="164">
        <f>SUM(J4:J15)</f>
        <v>130025.99999999999</v>
      </c>
      <c r="K16" s="164">
        <f>SUM(K4:K15)</f>
        <v>144168</v>
      </c>
      <c r="L16" s="165">
        <f>SUM(L4:L15)</f>
        <v>411506.65999999992</v>
      </c>
    </row>
    <row r="17" spans="1:13">
      <c r="A17" s="305">
        <v>2016</v>
      </c>
      <c r="B17" s="5" t="str">
        <f>IF(L!$A$1=1,L!B140,IF(L!$A$1=2,L!C140,L!D140))</f>
        <v>2016 Janar</v>
      </c>
      <c r="C17" s="166">
        <f t="shared" si="0"/>
        <v>174064.77000000002</v>
      </c>
      <c r="D17" s="167">
        <v>87609.11</v>
      </c>
      <c r="E17" s="167">
        <v>6478.6</v>
      </c>
      <c r="F17" s="168">
        <v>386</v>
      </c>
      <c r="G17" s="167">
        <f>7191-G18-15</f>
        <v>4379.5</v>
      </c>
      <c r="H17" s="145">
        <v>8745</v>
      </c>
      <c r="I17" s="167">
        <v>6484</v>
      </c>
      <c r="J17" s="167">
        <v>4925.5</v>
      </c>
      <c r="K17" s="166">
        <v>27466</v>
      </c>
      <c r="L17" s="169">
        <f>174064.77-D17-E17-F17-G17-H17-I17-J17-K17</f>
        <v>27591.059999999983</v>
      </c>
    </row>
    <row r="18" spans="1:13">
      <c r="A18" s="305"/>
      <c r="B18" s="5" t="str">
        <f>IF(L!$A$1=1,L!B141,IF(L!$A$1=2,L!C141,L!D141))</f>
        <v>2016 Shkurt</v>
      </c>
      <c r="C18" s="166">
        <f t="shared" si="0"/>
        <v>202319.18</v>
      </c>
      <c r="D18" s="167">
        <f>69508.9-5097.94</f>
        <v>64410.959999999992</v>
      </c>
      <c r="E18" s="167">
        <v>40372</v>
      </c>
      <c r="F18" s="170">
        <v>1300</v>
      </c>
      <c r="G18" s="167">
        <f>12678-G19-840</f>
        <v>2796.5</v>
      </c>
      <c r="H18" s="171">
        <v>9945</v>
      </c>
      <c r="I18" s="167">
        <f>14124.5-60</f>
        <v>14064.5</v>
      </c>
      <c r="J18" s="172">
        <v>13991.4</v>
      </c>
      <c r="K18" s="166">
        <v>8745</v>
      </c>
      <c r="L18" s="167">
        <f>202319.18-D18-E18-F18-G18-H18-I18-J18-K18</f>
        <v>46693.82</v>
      </c>
    </row>
    <row r="19" spans="1:13">
      <c r="A19" s="305"/>
      <c r="B19" s="5" t="str">
        <f>IF(L!$A$1=1,L!B142,IF(L!$A$1=2,L!C142,L!D142))</f>
        <v xml:space="preserve">2016 Mars </v>
      </c>
      <c r="C19" s="166">
        <f t="shared" si="0"/>
        <v>302842.98</v>
      </c>
      <c r="D19" s="167">
        <v>106017.04</v>
      </c>
      <c r="E19" s="167">
        <v>6847</v>
      </c>
      <c r="F19" s="170">
        <v>4320.3999999999996</v>
      </c>
      <c r="G19" s="167">
        <f>100+1116+120+1794.5+4654+272+820.5+111+47.5+6</f>
        <v>9041.5</v>
      </c>
      <c r="H19" s="146">
        <f>11945+72289</f>
        <v>84234</v>
      </c>
      <c r="I19" s="167">
        <f>1200+13288+10</f>
        <v>14498</v>
      </c>
      <c r="J19" s="172">
        <f>14419.3+218.5+11</f>
        <v>14648.8</v>
      </c>
      <c r="K19" s="166">
        <v>8230</v>
      </c>
      <c r="L19" s="167">
        <f>302842.98-E19-F19-G19-H19-I19-J19-K19-D19</f>
        <v>55006.239999999976</v>
      </c>
    </row>
    <row r="20" spans="1:13">
      <c r="A20" s="305"/>
      <c r="B20" s="5" t="str">
        <f>IF(L!$A$1=1,L!B143,IF(L!$A$1=2,L!C143,L!D143))</f>
        <v>2016 Prill</v>
      </c>
      <c r="C20" s="166">
        <f t="shared" si="0"/>
        <v>272637.68</v>
      </c>
      <c r="D20" s="167">
        <v>113030.9</v>
      </c>
      <c r="E20" s="167">
        <v>42627</v>
      </c>
      <c r="F20" s="170">
        <v>744</v>
      </c>
      <c r="G20" s="167">
        <f>100+1116+120+1794.5+4654+272+820.5+111+47.5+6</f>
        <v>9041.5</v>
      </c>
      <c r="H20" s="167">
        <v>12150</v>
      </c>
      <c r="I20" s="167">
        <v>16697.5</v>
      </c>
      <c r="J20" s="172">
        <v>11247.4</v>
      </c>
      <c r="K20" s="166">
        <v>10166</v>
      </c>
      <c r="L20" s="167">
        <f>272637.68-D20-E20-F20-G20-H20-I20-J20-K20</f>
        <v>56933.380000000005</v>
      </c>
    </row>
    <row r="21" spans="1:13">
      <c r="A21" s="305"/>
      <c r="B21" s="5" t="str">
        <f>IF(L!$A$1=1,L!B144,IF(L!$A$1=2,L!C144,L!D144))</f>
        <v>2016 Maj</v>
      </c>
      <c r="C21" s="166">
        <f t="shared" si="0"/>
        <v>237350.8</v>
      </c>
      <c r="D21" s="167">
        <v>113885.35</v>
      </c>
      <c r="E21" s="167">
        <v>9774</v>
      </c>
      <c r="F21" s="170">
        <v>12915.6</v>
      </c>
      <c r="G21" s="167">
        <f>11999</f>
        <v>11999</v>
      </c>
      <c r="H21" s="167">
        <v>12365</v>
      </c>
      <c r="I21" s="167">
        <v>16284</v>
      </c>
      <c r="J21" s="172">
        <v>10924.1</v>
      </c>
      <c r="K21" s="166">
        <v>15067</v>
      </c>
      <c r="L21" s="167">
        <f>237350.8-D21-E21-F21-G21-H21-I21-J21-K21</f>
        <v>34136.749999999978</v>
      </c>
    </row>
    <row r="22" spans="1:13">
      <c r="A22" s="305"/>
      <c r="B22" s="5" t="str">
        <f>IF(L!$A$1=1,L!B145,IF(L!$A$1=2,L!C145,L!D145))</f>
        <v>2016 Qershor</v>
      </c>
      <c r="C22" s="166">
        <f t="shared" si="0"/>
        <v>461492.53</v>
      </c>
      <c r="D22" s="167">
        <v>261236.57</v>
      </c>
      <c r="E22" s="167">
        <v>17420</v>
      </c>
      <c r="F22" s="170">
        <v>2517.88</v>
      </c>
      <c r="G22" s="167">
        <f>13128-520</f>
        <v>12608</v>
      </c>
      <c r="H22" s="167">
        <f>9590+63975</f>
        <v>73565</v>
      </c>
      <c r="I22" s="167">
        <v>18140</v>
      </c>
      <c r="J22" s="172">
        <v>8867.2000000000007</v>
      </c>
      <c r="K22" s="173">
        <v>20372</v>
      </c>
      <c r="L22" s="167">
        <f>461492.53-D22-E22-F22-G22-H22-I22-J22-K22</f>
        <v>46765.880000000019</v>
      </c>
    </row>
    <row r="23" spans="1:13">
      <c r="A23" s="305"/>
      <c r="B23" s="5" t="str">
        <f>IF(L!$A$1=1,L!B146,IF(L!$A$1=2,L!C146,L!D146))</f>
        <v>2016 Korrik</v>
      </c>
      <c r="C23" s="166">
        <f t="shared" si="0"/>
        <v>266190.81</v>
      </c>
      <c r="D23" s="167">
        <v>134806.46</v>
      </c>
      <c r="E23" s="167">
        <v>24616.799999999999</v>
      </c>
      <c r="F23" s="170">
        <v>10833.4</v>
      </c>
      <c r="G23" s="167">
        <f>18812-485</f>
        <v>18327</v>
      </c>
      <c r="H23" s="167">
        <v>15911</v>
      </c>
      <c r="I23" s="167">
        <v>18846.5</v>
      </c>
      <c r="J23" s="172">
        <v>10282.700000000001</v>
      </c>
      <c r="K23" s="166">
        <v>2389</v>
      </c>
      <c r="L23" s="167">
        <f>266190.81-D23-E23-F23-G23-H23-I23-J23-K23</f>
        <v>30177.950000000008</v>
      </c>
    </row>
    <row r="24" spans="1:13">
      <c r="A24" s="305"/>
      <c r="B24" s="5" t="str">
        <f>IF(L!$A$1=1,L!B147,IF(L!$A$1=2,L!C147,L!D147))</f>
        <v>2016 Gusht</v>
      </c>
      <c r="C24" s="166">
        <f t="shared" si="0"/>
        <v>418553.47</v>
      </c>
      <c r="D24" s="167">
        <v>267400.02</v>
      </c>
      <c r="E24" s="167">
        <v>25951.8</v>
      </c>
      <c r="F24" s="170">
        <v>8774.4</v>
      </c>
      <c r="G24" s="167">
        <f>20518.5-590</f>
        <v>19928.5</v>
      </c>
      <c r="H24" s="147">
        <v>18707</v>
      </c>
      <c r="I24" s="167">
        <v>20964.5</v>
      </c>
      <c r="J24" s="172">
        <v>10606.2</v>
      </c>
      <c r="K24" s="166">
        <v>3025</v>
      </c>
      <c r="L24" s="167">
        <f>418553.47-D24-E24-F24-G24-H24-I24-J24-K24</f>
        <v>43196.049999999959</v>
      </c>
    </row>
    <row r="25" spans="1:13">
      <c r="A25" s="305"/>
      <c r="B25" s="5" t="str">
        <f>IF(L!$A$1=1,L!B148,IF(L!$A$1=2,L!C148,L!D148))</f>
        <v>2016 Shtator</v>
      </c>
      <c r="C25" s="166">
        <f t="shared" si="0"/>
        <v>388113.07</v>
      </c>
      <c r="D25" s="167">
        <v>129402.91</v>
      </c>
      <c r="E25" s="167">
        <v>66896.600000000006</v>
      </c>
      <c r="F25" s="170">
        <v>15452</v>
      </c>
      <c r="G25" s="167">
        <f>12558.5-375</f>
        <v>12183.5</v>
      </c>
      <c r="H25" s="167">
        <f>8642.5+73331.5</f>
        <v>81974</v>
      </c>
      <c r="I25" s="167">
        <v>16913</v>
      </c>
      <c r="J25" s="172">
        <v>10288.700000000001</v>
      </c>
      <c r="K25" s="166">
        <v>7742</v>
      </c>
      <c r="L25" s="167">
        <f>388113.07-D25-E25-F25-G25-H25-I25-J25-K25</f>
        <v>47260.36</v>
      </c>
    </row>
    <row r="26" spans="1:13">
      <c r="A26" s="305"/>
      <c r="B26" s="5" t="str">
        <f>IF(L!$A$1=1,L!B149,IF(L!$A$1=2,L!C149,L!D149))</f>
        <v>2016 Tetor</v>
      </c>
      <c r="C26" s="166">
        <f t="shared" si="0"/>
        <v>163368.18</v>
      </c>
      <c r="D26" s="167">
        <v>56748.14</v>
      </c>
      <c r="E26" s="167">
        <v>17641.5</v>
      </c>
      <c r="F26" s="170">
        <v>1824</v>
      </c>
      <c r="G26" s="167">
        <f>14527-420</f>
        <v>14107</v>
      </c>
      <c r="H26" s="167">
        <v>13573.5</v>
      </c>
      <c r="I26" s="167">
        <v>17255.5</v>
      </c>
      <c r="J26" s="172">
        <v>10546.4</v>
      </c>
      <c r="K26" s="173">
        <v>6863</v>
      </c>
      <c r="L26" s="167">
        <f>163368.18-D26-E26-F26-G26-H26-I26-J26-K26</f>
        <v>24809.139999999992</v>
      </c>
    </row>
    <row r="27" spans="1:13">
      <c r="A27" s="305"/>
      <c r="B27" s="5" t="str">
        <f>IF(L!$A$1=1,L!B150,IF(L!$A$1=2,L!C150,L!D150))</f>
        <v xml:space="preserve">2016 Nëntor </v>
      </c>
      <c r="C27" s="166">
        <f t="shared" si="0"/>
        <v>195884.80999999997</v>
      </c>
      <c r="D27" s="167">
        <v>57141.39</v>
      </c>
      <c r="E27" s="167">
        <v>16179.27</v>
      </c>
      <c r="F27" s="170">
        <v>1539</v>
      </c>
      <c r="G27" s="167">
        <f>13588.5-375</f>
        <v>13213.5</v>
      </c>
      <c r="H27" s="167">
        <v>16279.5</v>
      </c>
      <c r="I27" s="167">
        <v>13578</v>
      </c>
      <c r="J27" s="172">
        <v>13073.2</v>
      </c>
      <c r="K27" s="173">
        <v>7776</v>
      </c>
      <c r="L27" s="167">
        <f>195884.81-D27-E27-F27-G27-H27-I27-J27-K27</f>
        <v>57104.949999999983</v>
      </c>
    </row>
    <row r="28" spans="1:13">
      <c r="A28" s="305"/>
      <c r="B28" s="5" t="str">
        <f>IF(L!$A$1=1,L!B151,IF(L!$A$1=2,L!C151,L!D151))</f>
        <v>2016 Dhjetor</v>
      </c>
      <c r="C28" s="166">
        <f t="shared" si="0"/>
        <v>388090.77</v>
      </c>
      <c r="D28" s="167">
        <v>170822.38</v>
      </c>
      <c r="E28" s="167">
        <v>11524</v>
      </c>
      <c r="F28" s="170">
        <v>2233.6800000000003</v>
      </c>
      <c r="G28" s="167">
        <f>21508.5-400-30+51</f>
        <v>21129.5</v>
      </c>
      <c r="H28" s="167">
        <f>12255+94352.5</f>
        <v>106607.5</v>
      </c>
      <c r="I28" s="167">
        <v>14728</v>
      </c>
      <c r="J28" s="172">
        <v>15696.1</v>
      </c>
      <c r="K28" s="173">
        <v>10203</v>
      </c>
      <c r="L28" s="167">
        <f>388090.77-D28-E28-F28-G28-H28-I28-J28-K28</f>
        <v>35146.610000000022</v>
      </c>
    </row>
    <row r="29" spans="1:13">
      <c r="A29" s="305"/>
      <c r="B29" s="6" t="str">
        <f>IF(L!$A$1=1,L!B152,IF(L!$A$1=2,L!C152,L!D152))</f>
        <v>Gjithsej 2016</v>
      </c>
      <c r="C29" s="174">
        <f t="shared" si="0"/>
        <v>3470909.05</v>
      </c>
      <c r="D29" s="175">
        <f t="shared" ref="D29:L29" si="2">SUM(D17:D28)</f>
        <v>1562511.2299999995</v>
      </c>
      <c r="E29" s="175">
        <f t="shared" si="2"/>
        <v>286328.57</v>
      </c>
      <c r="F29" s="175">
        <f t="shared" si="2"/>
        <v>62840.36</v>
      </c>
      <c r="G29" s="175">
        <f t="shared" si="2"/>
        <v>148755</v>
      </c>
      <c r="H29" s="175">
        <f t="shared" si="2"/>
        <v>454056.5</v>
      </c>
      <c r="I29" s="175">
        <f t="shared" si="2"/>
        <v>188453.5</v>
      </c>
      <c r="J29" s="175">
        <f t="shared" si="2"/>
        <v>135097.69999999998</v>
      </c>
      <c r="K29" s="175">
        <f t="shared" si="2"/>
        <v>128044</v>
      </c>
      <c r="L29" s="175">
        <f t="shared" si="2"/>
        <v>504822.18999999989</v>
      </c>
    </row>
    <row r="30" spans="1:13" s="3" customFormat="1">
      <c r="A30" s="305">
        <v>2017</v>
      </c>
      <c r="B30" s="5" t="str">
        <f>IF(L!$A$1=1,L!B153,IF(L!$A$1=2,L!C153,L!D153))</f>
        <v>2017 Janar</v>
      </c>
      <c r="C30" s="170">
        <f>SUM(D30:L30)</f>
        <v>159765.66</v>
      </c>
      <c r="D30" s="176">
        <v>53694.34</v>
      </c>
      <c r="E30" s="167">
        <v>2659</v>
      </c>
      <c r="F30" s="170">
        <v>24285.4</v>
      </c>
      <c r="G30" s="177">
        <f>7312-160</f>
        <v>7152</v>
      </c>
      <c r="H30" s="178">
        <v>12177.5</v>
      </c>
      <c r="I30" s="177">
        <v>8440</v>
      </c>
      <c r="J30" s="179">
        <v>4200</v>
      </c>
      <c r="K30" s="180">
        <v>28331</v>
      </c>
      <c r="L30" s="170">
        <f>159765.66-D30-E30-F30-G30-I30-J30-K30-H30</f>
        <v>18826.420000000013</v>
      </c>
      <c r="M30" s="9"/>
    </row>
    <row r="31" spans="1:13" s="3" customFormat="1">
      <c r="A31" s="305"/>
      <c r="B31" s="5" t="str">
        <f>IF(L!$A$1=1,L!B154,IF(L!$A$1=2,L!C154,L!D154))</f>
        <v>2017 Shkurt</v>
      </c>
      <c r="C31" s="170">
        <f>SUM(D31:L31)</f>
        <v>182000.99999999997</v>
      </c>
      <c r="D31" s="176">
        <v>82711.62</v>
      </c>
      <c r="E31" s="167">
        <v>7851.8</v>
      </c>
      <c r="F31" s="170">
        <v>1440</v>
      </c>
      <c r="G31" s="177">
        <f>14065.5-415</f>
        <v>13650.5</v>
      </c>
      <c r="H31" s="178">
        <v>18607.5</v>
      </c>
      <c r="I31" s="177">
        <v>11719</v>
      </c>
      <c r="J31" s="181">
        <v>9533.4</v>
      </c>
      <c r="K31" s="180">
        <v>6607</v>
      </c>
      <c r="L31" s="170">
        <f>182001-D31-E31-F31-G31-I31-J31-K31-H31</f>
        <v>29880.18</v>
      </c>
      <c r="M31" s="9"/>
    </row>
    <row r="32" spans="1:13" s="3" customFormat="1">
      <c r="A32" s="305"/>
      <c r="B32" s="5" t="str">
        <f>IF(L!$A$1=1,L!B155,IF(L!$A$1=2,L!C155,L!D155))</f>
        <v xml:space="preserve">2017 Mars </v>
      </c>
      <c r="C32" s="182">
        <f t="shared" si="0"/>
        <v>389436.00000000006</v>
      </c>
      <c r="D32" s="176">
        <v>146023.26999999999</v>
      </c>
      <c r="E32" s="167">
        <v>33564</v>
      </c>
      <c r="F32" s="170">
        <v>4515.5</v>
      </c>
      <c r="G32" s="177">
        <f>19471.5-485</f>
        <v>18986.5</v>
      </c>
      <c r="H32" s="177">
        <v>113386</v>
      </c>
      <c r="I32" s="177">
        <v>17879</v>
      </c>
      <c r="J32" s="181">
        <v>11414.9</v>
      </c>
      <c r="K32" s="148">
        <v>6982</v>
      </c>
      <c r="L32" s="170">
        <f>389436-D32-E32-F32-G32-I32-J32-K32-H32</f>
        <v>36684.830000000016</v>
      </c>
      <c r="M32" s="9"/>
    </row>
    <row r="33" spans="1:16" s="3" customFormat="1">
      <c r="A33" s="305"/>
      <c r="B33" s="5" t="str">
        <f>IF(L!$A$1=1,L!B156,IF(L!$A$1=2,L!C156,L!D156))</f>
        <v>2017 Prill</v>
      </c>
      <c r="C33" s="170">
        <f t="shared" ref="C33:C39" si="3">SUM(D33:L33)</f>
        <v>239884</v>
      </c>
      <c r="D33" s="176">
        <v>88499.83</v>
      </c>
      <c r="E33" s="167">
        <v>48639.56</v>
      </c>
      <c r="F33" s="170">
        <v>7494</v>
      </c>
      <c r="G33" s="177">
        <f>15638.5-330</f>
        <v>15308.5</v>
      </c>
      <c r="H33" s="177">
        <v>20867.5</v>
      </c>
      <c r="I33" s="177">
        <v>14904</v>
      </c>
      <c r="J33" s="181">
        <v>7203.2</v>
      </c>
      <c r="K33" s="148">
        <v>5943</v>
      </c>
      <c r="L33" s="170">
        <f>239884-D33-E33-F33-G33-I33-J33-K33-H33</f>
        <v>31024.409999999989</v>
      </c>
      <c r="M33" s="9"/>
    </row>
    <row r="34" spans="1:16" s="3" customFormat="1">
      <c r="A34" s="305"/>
      <c r="B34" s="5" t="str">
        <f>IF(L!$A$1=1,L!B157,IF(L!$A$1=2,L!C157,L!D157))</f>
        <v>2017 Maj</v>
      </c>
      <c r="C34" s="170">
        <f t="shared" si="3"/>
        <v>268759</v>
      </c>
      <c r="D34" s="176">
        <v>99068.72</v>
      </c>
      <c r="E34" s="167">
        <v>37339.94</v>
      </c>
      <c r="F34" s="170">
        <v>19562</v>
      </c>
      <c r="G34" s="177">
        <f>15223-464</f>
        <v>14759</v>
      </c>
      <c r="H34" s="178">
        <v>24125</v>
      </c>
      <c r="I34" s="177">
        <v>16861.5</v>
      </c>
      <c r="J34" s="181">
        <v>9057.6</v>
      </c>
      <c r="K34" s="180">
        <v>14411</v>
      </c>
      <c r="L34" s="170">
        <f>268759-D34-E34-F34-G34-I34-J34-K34-H34</f>
        <v>33574.239999999991</v>
      </c>
      <c r="M34" s="9"/>
    </row>
    <row r="35" spans="1:16" s="3" customFormat="1">
      <c r="A35" s="305"/>
      <c r="B35" s="5" t="str">
        <f>IF(L!$A$1=1,L!B158,IF(L!$A$1=2,L!C158,L!D158))</f>
        <v>2017 Qershor</v>
      </c>
      <c r="C35" s="170">
        <f t="shared" si="3"/>
        <v>395477.02999999997</v>
      </c>
      <c r="D35" s="176">
        <v>182109.98</v>
      </c>
      <c r="E35" s="167">
        <v>11739.01</v>
      </c>
      <c r="F35" s="170">
        <v>2759</v>
      </c>
      <c r="G35" s="177">
        <f>17116-465</f>
        <v>16651</v>
      </c>
      <c r="H35" s="177">
        <v>104826</v>
      </c>
      <c r="I35" s="177">
        <v>19834</v>
      </c>
      <c r="J35" s="181">
        <v>6953.6</v>
      </c>
      <c r="K35" s="180">
        <v>25098</v>
      </c>
      <c r="L35" s="170">
        <f>395477.03-D35-E35-F35-G35-I35-J35-K35-H35</f>
        <v>25506.440000000002</v>
      </c>
      <c r="M35" s="9"/>
    </row>
    <row r="36" spans="1:16" s="3" customFormat="1">
      <c r="A36" s="305"/>
      <c r="B36" s="5" t="str">
        <f>IF(L!$A$1=1,L!B159,IF(L!$A$1=2,L!C159,L!D159))</f>
        <v>2017 Korrik</v>
      </c>
      <c r="C36" s="170">
        <f t="shared" si="3"/>
        <v>287896.01</v>
      </c>
      <c r="D36" s="176">
        <v>141447.01999999999</v>
      </c>
      <c r="E36" s="167">
        <v>23906.19</v>
      </c>
      <c r="F36" s="170">
        <v>30934</v>
      </c>
      <c r="G36" s="177">
        <f>14247.5</f>
        <v>14247.5</v>
      </c>
      <c r="H36" s="177">
        <v>22240</v>
      </c>
      <c r="I36" s="177">
        <v>19017</v>
      </c>
      <c r="J36" s="181">
        <v>8808.7999999999993</v>
      </c>
      <c r="K36" s="180">
        <v>2104</v>
      </c>
      <c r="L36" s="170">
        <f>287896.01-D36-E36-F36-G36-I36-J36-K36-H36</f>
        <v>25191.500000000015</v>
      </c>
      <c r="M36" s="9"/>
    </row>
    <row r="37" spans="1:16" s="3" customFormat="1">
      <c r="A37" s="305"/>
      <c r="B37" s="5" t="str">
        <f>IF(L!$A$1=1,L!B160,IF(L!$A$1=2,L!C160,L!D160))</f>
        <v>2017 Gusht</v>
      </c>
      <c r="C37" s="170">
        <f t="shared" si="3"/>
        <v>411732.69999999995</v>
      </c>
      <c r="D37" s="176">
        <v>218819.49</v>
      </c>
      <c r="E37" s="167">
        <v>21152.97</v>
      </c>
      <c r="F37" s="170">
        <v>37819.5</v>
      </c>
      <c r="G37" s="177">
        <f>22213.5-756</f>
        <v>21457.5</v>
      </c>
      <c r="H37" s="177">
        <v>42911.5</v>
      </c>
      <c r="I37" s="177">
        <v>21585</v>
      </c>
      <c r="J37" s="181">
        <v>10612</v>
      </c>
      <c r="K37" s="180">
        <v>1612</v>
      </c>
      <c r="L37" s="170">
        <f>411732.7-D37-E37-F37-G37-I37-J37-K37-H37</f>
        <v>35762.74000000002</v>
      </c>
      <c r="M37" s="9"/>
    </row>
    <row r="38" spans="1:16" s="3" customFormat="1">
      <c r="A38" s="305"/>
      <c r="B38" s="5" t="str">
        <f>IF(L!$A$1=1,L!B161,IF(L!$A$1=2,L!C161,L!D161))</f>
        <v>2017 Shtator</v>
      </c>
      <c r="C38" s="170">
        <f t="shared" si="3"/>
        <v>354245</v>
      </c>
      <c r="D38" s="176">
        <v>87232.27</v>
      </c>
      <c r="E38" s="167">
        <v>79186.03</v>
      </c>
      <c r="F38" s="170">
        <v>9086.2000000000007</v>
      </c>
      <c r="G38" s="177">
        <f>17172.5-440</f>
        <v>16732.5</v>
      </c>
      <c r="H38" s="177">
        <v>94296</v>
      </c>
      <c r="I38" s="177">
        <v>14882.5</v>
      </c>
      <c r="J38" s="181">
        <v>8148.5</v>
      </c>
      <c r="K38" s="148">
        <v>9940.39</v>
      </c>
      <c r="L38" s="170">
        <f>276520-D38-E38-F38-G38-I38-J38-K38-H38+77725</f>
        <v>34740.609999999986</v>
      </c>
      <c r="M38" s="9"/>
    </row>
    <row r="39" spans="1:16" s="3" customFormat="1">
      <c r="A39" s="305"/>
      <c r="B39" s="5" t="str">
        <f>IF(L!$A$1=1,L!B162,IF(L!$A$1=2,L!C162,L!D162))</f>
        <v>2017 Tetor</v>
      </c>
      <c r="C39" s="170">
        <f t="shared" si="3"/>
        <v>302637.14999999997</v>
      </c>
      <c r="D39" s="176">
        <v>51185.62</v>
      </c>
      <c r="E39" s="167">
        <v>112360.75</v>
      </c>
      <c r="F39" s="170">
        <v>29807.829999999998</v>
      </c>
      <c r="G39" s="177">
        <f>19326.4-688.5</f>
        <v>18637.900000000001</v>
      </c>
      <c r="H39" s="177">
        <v>18388.5</v>
      </c>
      <c r="I39" s="177">
        <v>19763.5</v>
      </c>
      <c r="J39" s="181">
        <v>9095.2999999999993</v>
      </c>
      <c r="K39" s="180">
        <v>7282</v>
      </c>
      <c r="L39" s="170">
        <f>284248.65-D39-E39-F39-G39-I39-J39-K39</f>
        <v>36115.750000000015</v>
      </c>
      <c r="M39" s="9"/>
    </row>
    <row r="40" spans="1:16" s="3" customFormat="1" ht="15.75" thickBot="1">
      <c r="A40" s="305"/>
      <c r="B40" s="5" t="str">
        <f>IF(L!$A$1=1,L!B163,IF(L!$A$1=2,L!C163,L!D163))</f>
        <v xml:space="preserve">2017 Nëntor </v>
      </c>
      <c r="C40" s="166">
        <f t="shared" si="0"/>
        <v>219482.89</v>
      </c>
      <c r="D40" s="166">
        <v>63037.9</v>
      </c>
      <c r="E40" s="166">
        <v>79818.880000000005</v>
      </c>
      <c r="F40" s="166">
        <f>1499.5+170</f>
        <v>1669.5</v>
      </c>
      <c r="G40" s="166">
        <v>13723.5</v>
      </c>
      <c r="H40" s="166">
        <v>14692.5</v>
      </c>
      <c r="I40" s="166">
        <f>13614+2150.5</f>
        <v>15764.5</v>
      </c>
      <c r="J40" s="166">
        <v>9461.5</v>
      </c>
      <c r="K40" s="166">
        <f>7063+40</f>
        <v>7103</v>
      </c>
      <c r="L40" s="166">
        <v>14211.61</v>
      </c>
      <c r="M40" s="9"/>
    </row>
    <row r="41" spans="1:16" s="3" customFormat="1" ht="15.75" thickBot="1">
      <c r="A41" s="305"/>
      <c r="B41" s="5" t="str">
        <f>IF(L!$A$1=1,L!B164,IF(L!$A$1=2,L!C164,L!D164))</f>
        <v>2017 Dhjetor</v>
      </c>
      <c r="C41" s="166">
        <f t="shared" si="0"/>
        <v>360487.65</v>
      </c>
      <c r="D41" s="198">
        <v>207270.45</v>
      </c>
      <c r="E41" s="199">
        <v>10009.74</v>
      </c>
      <c r="F41" s="166">
        <v>1796</v>
      </c>
      <c r="G41" s="166">
        <v>16445</v>
      </c>
      <c r="H41" s="166">
        <v>47757</v>
      </c>
      <c r="I41" s="166">
        <v>19650</v>
      </c>
      <c r="J41" s="200">
        <v>15211.8</v>
      </c>
      <c r="K41" s="166">
        <v>6794</v>
      </c>
      <c r="L41" s="166">
        <v>35553.660000000003</v>
      </c>
      <c r="M41" s="9"/>
    </row>
    <row r="42" spans="1:16" s="3" customFormat="1">
      <c r="A42" s="305"/>
      <c r="B42" s="6" t="str">
        <f>IF(L!$A$1=1,L!B165,IF(L!$A$1=2,L!C165,L!D165))</f>
        <v>Gjithsej 2017</v>
      </c>
      <c r="C42" s="174">
        <f t="shared" si="0"/>
        <v>3571804.0900000003</v>
      </c>
      <c r="D42" s="175">
        <f>SUM(D30:D41)</f>
        <v>1421100.51</v>
      </c>
      <c r="E42" s="175">
        <f>SUM(E30:E41)</f>
        <v>468227.87</v>
      </c>
      <c r="F42" s="175">
        <f>SUM(F30:F41)</f>
        <v>171168.93</v>
      </c>
      <c r="G42" s="175">
        <f t="shared" ref="G42:K42" si="4">SUM(G30:G41)</f>
        <v>187751.4</v>
      </c>
      <c r="H42" s="175">
        <f t="shared" si="4"/>
        <v>534275</v>
      </c>
      <c r="I42" s="175">
        <f t="shared" si="4"/>
        <v>200300</v>
      </c>
      <c r="J42" s="175">
        <f t="shared" si="4"/>
        <v>109700.6</v>
      </c>
      <c r="K42" s="175">
        <f t="shared" si="4"/>
        <v>122207.39</v>
      </c>
      <c r="L42" s="175">
        <f>SUM(L30:L41)</f>
        <v>357072.39</v>
      </c>
      <c r="M42" s="9"/>
    </row>
    <row r="43" spans="1:16" s="3" customFormat="1">
      <c r="A43" s="305">
        <v>2018</v>
      </c>
      <c r="B43" s="5" t="str">
        <f>IF(L!$A$1=1,L!B166,IF(L!$A$1=2,L!C166,L!D166))</f>
        <v>2018 Janar</v>
      </c>
      <c r="C43" s="170">
        <v>299101.73</v>
      </c>
      <c r="D43" s="176">
        <v>94267.63</v>
      </c>
      <c r="E43" s="167">
        <v>92057.72</v>
      </c>
      <c r="F43" s="170">
        <v>1545</v>
      </c>
      <c r="G43" s="177">
        <v>15856.08</v>
      </c>
      <c r="H43" s="168">
        <v>22434.5</v>
      </c>
      <c r="I43" s="177">
        <v>13131</v>
      </c>
      <c r="J43" s="179">
        <v>7016.5</v>
      </c>
      <c r="K43" s="180">
        <v>30851</v>
      </c>
      <c r="L43" s="170">
        <v>21942.299999999974</v>
      </c>
      <c r="M43" s="9"/>
    </row>
    <row r="44" spans="1:16" s="9" customFormat="1" ht="16.5">
      <c r="A44" s="305"/>
      <c r="B44" s="5" t="str">
        <f>IF(L!$A$1=1,L!B167,IF(L!$A$1=2,L!C167,L!D167))</f>
        <v>2018 Shkurt</v>
      </c>
      <c r="C44" s="201">
        <v>221109.30000000002</v>
      </c>
      <c r="D44" s="202">
        <v>109114.67</v>
      </c>
      <c r="E44" s="203">
        <v>15029.53</v>
      </c>
      <c r="F44" s="201">
        <v>2187.5</v>
      </c>
      <c r="G44" s="204">
        <v>13331</v>
      </c>
      <c r="H44" s="205">
        <v>25935.5</v>
      </c>
      <c r="I44" s="204">
        <v>13174</v>
      </c>
      <c r="J44" s="206">
        <v>9273.1</v>
      </c>
      <c r="K44" s="124">
        <v>4864</v>
      </c>
      <c r="L44" s="170">
        <v>28200</v>
      </c>
      <c r="M44" s="185"/>
    </row>
    <row r="45" spans="1:16" s="9" customFormat="1" ht="16.5">
      <c r="A45" s="305"/>
      <c r="B45" s="5" t="str">
        <f>IF(L!$A$1=1,L!B168,IF(L!$A$1=2,L!C168,L!D168))</f>
        <v xml:space="preserve">2018 Mars </v>
      </c>
      <c r="C45" s="207">
        <v>450115.77999999997</v>
      </c>
      <c r="D45" s="208">
        <v>119279.33</v>
      </c>
      <c r="E45" s="195">
        <v>177218.28</v>
      </c>
      <c r="F45" s="193">
        <v>11356.9</v>
      </c>
      <c r="G45" s="196">
        <v>14007</v>
      </c>
      <c r="H45" s="196">
        <v>61252</v>
      </c>
      <c r="I45" s="196">
        <v>16097</v>
      </c>
      <c r="J45" s="197">
        <v>6656.8</v>
      </c>
      <c r="K45" s="148">
        <v>5623</v>
      </c>
      <c r="L45" s="193">
        <v>38625.469999999972</v>
      </c>
      <c r="M45" s="112"/>
      <c r="N45" s="112"/>
    </row>
    <row r="46" spans="1:16" s="9" customFormat="1" ht="16.5">
      <c r="A46" s="305"/>
      <c r="B46" s="5" t="str">
        <f>IF(L!$A$1=1,L!B169,IF(L!$A$1=2,L!C169,L!D169))</f>
        <v>2018 Prill</v>
      </c>
      <c r="C46" s="193">
        <v>280872.52</v>
      </c>
      <c r="D46" s="194">
        <v>99107.26</v>
      </c>
      <c r="E46" s="195">
        <v>43497.98</v>
      </c>
      <c r="F46" s="193">
        <v>2886</v>
      </c>
      <c r="G46" s="196">
        <v>16574</v>
      </c>
      <c r="H46" s="196">
        <v>36295</v>
      </c>
      <c r="I46" s="196">
        <v>19799</v>
      </c>
      <c r="J46" s="208">
        <v>10760.1</v>
      </c>
      <c r="K46" s="148">
        <v>5933</v>
      </c>
      <c r="L46" s="193">
        <v>46020.18</v>
      </c>
      <c r="M46" s="112"/>
      <c r="N46" s="112"/>
    </row>
    <row r="47" spans="1:16" s="9" customFormat="1" ht="16.5">
      <c r="A47" s="305"/>
      <c r="B47" s="5" t="str">
        <f>IF(L!$A$1=1,L!B170,IF(L!$A$1=2,L!C170,L!D170))</f>
        <v>2018 Maj</v>
      </c>
      <c r="C47" s="193">
        <v>280730.78000000003</v>
      </c>
      <c r="D47" s="208">
        <v>107976.17</v>
      </c>
      <c r="E47" s="195">
        <v>25755.54</v>
      </c>
      <c r="F47" s="193">
        <v>10665.45</v>
      </c>
      <c r="G47" s="196">
        <v>13771</v>
      </c>
      <c r="H47" s="205">
        <v>38844.5</v>
      </c>
      <c r="I47" s="196">
        <v>19120</v>
      </c>
      <c r="J47" s="197">
        <v>7683.4</v>
      </c>
      <c r="K47" s="110">
        <v>19836</v>
      </c>
      <c r="L47" s="193">
        <v>37078.720000000001</v>
      </c>
      <c r="M47" s="235"/>
      <c r="N47" s="113"/>
    </row>
    <row r="48" spans="1:16" s="9" customFormat="1" ht="18.75">
      <c r="A48" s="305"/>
      <c r="B48" s="5" t="str">
        <f>IF(L!$A$1=1,L!B171,IF(L!$A$1=2,L!C171,L!D171))</f>
        <v>2018 Qershor</v>
      </c>
      <c r="C48" s="193">
        <v>514272.89999999997</v>
      </c>
      <c r="D48" s="208">
        <v>184442.15</v>
      </c>
      <c r="E48" s="195">
        <v>172512.19</v>
      </c>
      <c r="F48" s="193">
        <v>6752.5</v>
      </c>
      <c r="G48" s="196">
        <v>13843</v>
      </c>
      <c r="H48" s="196">
        <v>65741</v>
      </c>
      <c r="I48" s="196">
        <v>16610</v>
      </c>
      <c r="J48" s="197">
        <v>5505</v>
      </c>
      <c r="K48" s="110">
        <v>15769</v>
      </c>
      <c r="L48" s="193">
        <v>33098.06</v>
      </c>
      <c r="M48" s="122"/>
      <c r="N48" s="113"/>
      <c r="O48" s="113"/>
      <c r="P48" s="113"/>
    </row>
    <row r="49" spans="1:14" s="9" customFormat="1" ht="16.5">
      <c r="A49" s="305"/>
      <c r="B49" s="5" t="str">
        <f>IF(L!$A$1=1,L!B172,IF(L!$A$1=2,L!C172,L!D172))</f>
        <v>2018 Korrik</v>
      </c>
      <c r="C49" s="193">
        <v>381356.68</v>
      </c>
      <c r="D49" s="194">
        <v>165623.94</v>
      </c>
      <c r="E49" s="195">
        <v>34111.839999999997</v>
      </c>
      <c r="F49" s="193">
        <v>13740.9</v>
      </c>
      <c r="G49" s="196">
        <v>20408</v>
      </c>
      <c r="H49" s="208">
        <v>54942</v>
      </c>
      <c r="I49" s="209">
        <v>19579</v>
      </c>
      <c r="J49" s="197">
        <v>8510.5</v>
      </c>
      <c r="K49" s="110">
        <v>1869</v>
      </c>
      <c r="L49" s="193">
        <v>62571.5</v>
      </c>
      <c r="M49" s="114"/>
      <c r="N49" s="114"/>
    </row>
    <row r="50" spans="1:14" s="9" customFormat="1" ht="16.5">
      <c r="A50" s="305"/>
      <c r="B50" s="5" t="str">
        <f>IF(L!$A$1=1,L!B173,IF(L!$A$1=2,L!C173,L!D173))</f>
        <v>2018 Gusht</v>
      </c>
      <c r="C50" s="193">
        <v>446484.10000000003</v>
      </c>
      <c r="D50" s="194">
        <v>136449.96</v>
      </c>
      <c r="E50" s="195">
        <v>95505.84</v>
      </c>
      <c r="F50" s="193">
        <v>40395.100000000006</v>
      </c>
      <c r="G50" s="196">
        <v>20292</v>
      </c>
      <c r="H50" s="196">
        <v>70350.5</v>
      </c>
      <c r="I50" s="211">
        <v>19722</v>
      </c>
      <c r="J50" s="210">
        <v>11091.5</v>
      </c>
      <c r="K50" s="110">
        <v>1481</v>
      </c>
      <c r="L50" s="193">
        <v>51196.2</v>
      </c>
      <c r="M50" s="115"/>
      <c r="N50" s="115"/>
    </row>
    <row r="51" spans="1:14" s="9" customFormat="1" ht="15.75">
      <c r="A51" s="305"/>
      <c r="B51" s="5" t="str">
        <f>IF(L!$A$1=1,L!B174,IF(L!$A$1=2,L!C174,L!D174))</f>
        <v>2018 Shtator</v>
      </c>
      <c r="C51" s="109">
        <v>260941.48</v>
      </c>
      <c r="D51" s="102">
        <v>70148.710000000006</v>
      </c>
      <c r="E51" s="103">
        <v>34026.49</v>
      </c>
      <c r="F51" s="109">
        <v>2618.08</v>
      </c>
      <c r="G51" s="104">
        <v>19505</v>
      </c>
      <c r="H51" s="104">
        <v>70528.3</v>
      </c>
      <c r="I51" s="211">
        <v>17719</v>
      </c>
      <c r="J51" s="105">
        <v>8293.7999999999993</v>
      </c>
      <c r="K51" s="111">
        <v>324</v>
      </c>
      <c r="L51" s="109">
        <v>37778.1</v>
      </c>
      <c r="M51" s="212"/>
      <c r="N51" s="115"/>
    </row>
    <row r="52" spans="1:14" s="9" customFormat="1">
      <c r="A52" s="305"/>
      <c r="B52" s="5" t="str">
        <f>IF(L!$A$1=1,L!B175,IF(L!$A$1=2,L!C175,L!D175))</f>
        <v>2018 Tetor</v>
      </c>
      <c r="C52" s="109">
        <v>322353.33999999997</v>
      </c>
      <c r="D52" s="210">
        <v>100385.81</v>
      </c>
      <c r="E52" s="103">
        <v>40549.25</v>
      </c>
      <c r="F52" s="109">
        <v>24037.759999999998</v>
      </c>
      <c r="G52" s="104">
        <v>17294.5</v>
      </c>
      <c r="H52" s="104">
        <v>61535</v>
      </c>
      <c r="I52" s="104">
        <v>19576</v>
      </c>
      <c r="J52" s="105">
        <v>12382.8</v>
      </c>
      <c r="K52" s="110"/>
      <c r="L52" s="109">
        <v>46592.22</v>
      </c>
      <c r="M52" s="212"/>
      <c r="N52" s="115"/>
    </row>
    <row r="53" spans="1:14" s="9" customFormat="1">
      <c r="A53" s="305"/>
      <c r="B53" s="5" t="str">
        <f>IF(L!$A$1=1,L!B176,IF(L!$A$1=2,L!C176,L!D176))</f>
        <v xml:space="preserve">2018 Nëntor </v>
      </c>
      <c r="C53" s="224">
        <v>330998.58999999997</v>
      </c>
      <c r="D53" s="225">
        <v>102076.34</v>
      </c>
      <c r="E53" s="224">
        <v>33134.74</v>
      </c>
      <c r="F53" s="224">
        <v>5081.12</v>
      </c>
      <c r="G53" s="224">
        <v>13797.84</v>
      </c>
      <c r="H53" s="224">
        <v>72486</v>
      </c>
      <c r="I53" s="224">
        <v>14364</v>
      </c>
      <c r="J53" s="224">
        <v>7966.5</v>
      </c>
      <c r="K53" s="224">
        <v>1915</v>
      </c>
      <c r="L53" s="224">
        <v>80177.05</v>
      </c>
      <c r="M53" s="212"/>
      <c r="N53" s="212"/>
    </row>
    <row r="54" spans="1:14" s="9" customFormat="1">
      <c r="A54" s="305"/>
      <c r="B54" s="5" t="str">
        <f>IF(L!$A$1=1,L!B177,IF(L!$A$1=2,L!C177,L!D177))</f>
        <v>2018 Dhjetor</v>
      </c>
      <c r="C54" s="224">
        <v>460635.75</v>
      </c>
      <c r="D54" s="226">
        <v>268543.43</v>
      </c>
      <c r="E54" s="227">
        <v>9247.33</v>
      </c>
      <c r="F54" s="224">
        <v>1003</v>
      </c>
      <c r="G54" s="224">
        <v>18475.5</v>
      </c>
      <c r="H54" s="224">
        <v>78427.159999999989</v>
      </c>
      <c r="I54" s="224">
        <v>17750</v>
      </c>
      <c r="J54" s="228">
        <v>12256.2</v>
      </c>
      <c r="K54" s="224">
        <v>6711</v>
      </c>
      <c r="L54" s="224">
        <v>48222.13</v>
      </c>
    </row>
    <row r="55" spans="1:14" s="3" customFormat="1">
      <c r="A55" s="305"/>
      <c r="B55" s="6" t="str">
        <f>IF(L!$A$1=1,L!B178,IF(L!$A$1=2,L!C178,L!D178))</f>
        <v>Gjithsej 2018</v>
      </c>
      <c r="C55" s="106">
        <f t="shared" ref="C55" si="5">SUM(D55:L55)</f>
        <v>4248972.95</v>
      </c>
      <c r="D55" s="107">
        <f>SUM(D43:D54)</f>
        <v>1557415.4000000001</v>
      </c>
      <c r="E55" s="107">
        <f>SUM(E43:E54)</f>
        <v>772646.72999999986</v>
      </c>
      <c r="F55" s="107">
        <f>SUM(F43:F54)</f>
        <v>122269.31</v>
      </c>
      <c r="G55" s="107">
        <f t="shared" ref="G55:K55" si="6">SUM(G43:G54)</f>
        <v>197154.92</v>
      </c>
      <c r="H55" s="107">
        <f t="shared" si="6"/>
        <v>658771.46000000008</v>
      </c>
      <c r="I55" s="107">
        <f t="shared" si="6"/>
        <v>206641</v>
      </c>
      <c r="J55" s="107">
        <f t="shared" si="6"/>
        <v>107396.2</v>
      </c>
      <c r="K55" s="107">
        <f t="shared" si="6"/>
        <v>95176</v>
      </c>
      <c r="L55" s="107">
        <f>SUM(L43:L54)</f>
        <v>531501.92999999993</v>
      </c>
      <c r="M55" s="9"/>
    </row>
    <row r="56" spans="1:14" s="3" customFormat="1" ht="16.5">
      <c r="A56" s="305">
        <v>2019</v>
      </c>
      <c r="B56" s="5" t="str">
        <f>IF(L!$A$1=1,L!B179,IF(L!$A$1=2,L!C179,L!D179))</f>
        <v>2019 Janar</v>
      </c>
      <c r="C56" s="242">
        <f>SUM(D56:L56)</f>
        <v>276567.32</v>
      </c>
      <c r="D56" s="194">
        <v>116205.95</v>
      </c>
      <c r="E56" s="195">
        <v>5075.63</v>
      </c>
      <c r="F56" s="242">
        <v>11227.64</v>
      </c>
      <c r="G56" s="254">
        <v>11569</v>
      </c>
      <c r="H56" s="243">
        <v>52774</v>
      </c>
      <c r="I56" s="255">
        <v>12150</v>
      </c>
      <c r="J56" s="244">
        <f t="shared" ref="J56" si="7">+J44</f>
        <v>9273.1</v>
      </c>
      <c r="K56" s="245">
        <v>29547</v>
      </c>
      <c r="L56" s="242">
        <v>28745</v>
      </c>
      <c r="M56" s="9"/>
      <c r="N56" s="222"/>
    </row>
    <row r="57" spans="1:14" s="3" customFormat="1" ht="16.5">
      <c r="A57" s="305"/>
      <c r="B57" s="5" t="str">
        <f>IF(L!$A$1=1,L!B180,IF(L!$A$1=2,L!C180,L!D180))</f>
        <v>2019 Shkurt</v>
      </c>
      <c r="C57" s="246">
        <f>SUM(D57:L57)</f>
        <v>244919.84</v>
      </c>
      <c r="D57" s="202">
        <v>90230.66</v>
      </c>
      <c r="E57" s="203">
        <v>14959.98</v>
      </c>
      <c r="F57" s="246">
        <v>4037.2</v>
      </c>
      <c r="G57" s="204">
        <v>16770.5</v>
      </c>
      <c r="H57" s="247">
        <v>58599</v>
      </c>
      <c r="I57" s="204">
        <v>13010</v>
      </c>
      <c r="J57" s="206">
        <v>7751.5</v>
      </c>
      <c r="K57" s="248">
        <v>9382</v>
      </c>
      <c r="L57" s="242">
        <v>30179</v>
      </c>
      <c r="M57" s="9"/>
    </row>
    <row r="58" spans="1:14" s="3" customFormat="1" ht="16.5">
      <c r="A58" s="305"/>
      <c r="B58" s="5" t="str">
        <f>IF(L!$A$1=1,L!B181,IF(L!$A$1=2,L!C181,L!D181))</f>
        <v xml:space="preserve">2019 Mars </v>
      </c>
      <c r="C58" s="249">
        <f t="shared" ref="C58:C68" si="8">SUM(D58:L58)</f>
        <v>351258.65</v>
      </c>
      <c r="D58" s="250">
        <v>140268.31</v>
      </c>
      <c r="E58" s="195">
        <v>22293.73</v>
      </c>
      <c r="F58" s="242">
        <v>16672.25</v>
      </c>
      <c r="G58" s="196">
        <v>16025</v>
      </c>
      <c r="H58" s="196">
        <f>71787+16780</f>
        <v>88567</v>
      </c>
      <c r="I58" s="256">
        <v>16860</v>
      </c>
      <c r="J58" s="197">
        <v>7735.5</v>
      </c>
      <c r="K58" s="244">
        <v>5837</v>
      </c>
      <c r="L58" s="242">
        <v>36999.86</v>
      </c>
      <c r="M58" s="9"/>
    </row>
    <row r="59" spans="1:14" s="3" customFormat="1" ht="16.5">
      <c r="A59" s="305"/>
      <c r="B59" s="5" t="str">
        <f>IF(L!$A$1=1,L!B182,IF(L!$A$1=2,L!C182,L!D182))</f>
        <v>2019 Prill</v>
      </c>
      <c r="C59" s="249">
        <f t="shared" si="8"/>
        <v>466440.35000000003</v>
      </c>
      <c r="D59" s="194">
        <v>278650.83</v>
      </c>
      <c r="E59" s="244">
        <v>12253.9</v>
      </c>
      <c r="F59" s="242">
        <v>7700.52</v>
      </c>
      <c r="G59" s="196">
        <v>16804</v>
      </c>
      <c r="H59" s="257">
        <f>66336+3035</f>
        <v>69371</v>
      </c>
      <c r="I59" s="256">
        <v>18490</v>
      </c>
      <c r="J59" s="244">
        <f t="shared" ref="J59" si="9">+J46</f>
        <v>10760.1</v>
      </c>
      <c r="K59" s="251">
        <v>5596</v>
      </c>
      <c r="L59" s="242">
        <v>46814</v>
      </c>
      <c r="M59" s="9"/>
      <c r="N59" s="229"/>
    </row>
    <row r="60" spans="1:14" s="240" customFormat="1" ht="16.5">
      <c r="A60" s="305"/>
      <c r="B60" s="237" t="str">
        <f>IF(L!$A$1=1,L!B183,IF(L!$A$1=2,L!C183,L!D183))</f>
        <v>2019 Maj</v>
      </c>
      <c r="C60" s="245">
        <f t="shared" si="8"/>
        <v>488569.32999999996</v>
      </c>
      <c r="D60" s="244">
        <v>162190.87</v>
      </c>
      <c r="E60" s="195">
        <v>142946.68</v>
      </c>
      <c r="F60" s="245">
        <v>8669</v>
      </c>
      <c r="G60" s="196">
        <v>16451</v>
      </c>
      <c r="H60" s="252">
        <f>67290+3360</f>
        <v>70650</v>
      </c>
      <c r="I60" s="196">
        <v>21450</v>
      </c>
      <c r="J60" s="197">
        <v>8305</v>
      </c>
      <c r="K60" s="245">
        <v>10568</v>
      </c>
      <c r="L60" s="245">
        <f>44338.78+3000</f>
        <v>47338.78</v>
      </c>
      <c r="M60" s="238"/>
      <c r="N60" s="239"/>
    </row>
    <row r="61" spans="1:14" s="3" customFormat="1" ht="16.5">
      <c r="A61" s="305"/>
      <c r="B61" s="5" t="str">
        <f>IF(L!$A$1=1,L!B184,IF(L!$A$1=2,L!C184,L!D184))</f>
        <v>2019 Qershor</v>
      </c>
      <c r="C61" s="242">
        <f t="shared" si="8"/>
        <v>359912.12</v>
      </c>
      <c r="D61" s="244">
        <v>158394.01999999999</v>
      </c>
      <c r="E61" s="195">
        <v>16888.97</v>
      </c>
      <c r="F61" s="242">
        <v>10229.23</v>
      </c>
      <c r="G61" s="196">
        <v>16580</v>
      </c>
      <c r="H61" s="196">
        <f>53970+2625</f>
        <v>56595</v>
      </c>
      <c r="I61" s="196">
        <v>16580</v>
      </c>
      <c r="J61" s="197">
        <v>4009.5</v>
      </c>
      <c r="K61" s="245">
        <v>24180</v>
      </c>
      <c r="L61" s="242">
        <v>56455.4</v>
      </c>
      <c r="M61" s="212"/>
      <c r="N61" s="230"/>
    </row>
    <row r="62" spans="1:14" s="3" customFormat="1" ht="16.5">
      <c r="A62" s="305"/>
      <c r="B62" s="5" t="str">
        <f>IF(L!$A$1=1,L!B185,IF(L!$A$1=2,L!C185,L!D185))</f>
        <v>2019 Korrik</v>
      </c>
      <c r="C62" s="242">
        <f t="shared" si="8"/>
        <v>461365.31</v>
      </c>
      <c r="D62" s="244">
        <v>167098.6</v>
      </c>
      <c r="E62" s="195">
        <v>70245.960000000006</v>
      </c>
      <c r="F62" s="242">
        <v>31226.760000000002</v>
      </c>
      <c r="G62" s="196">
        <v>18734.5</v>
      </c>
      <c r="H62" s="250">
        <f>67133.5+3485</f>
        <v>70618.5</v>
      </c>
      <c r="I62" s="253">
        <v>20500</v>
      </c>
      <c r="J62" s="197">
        <v>7122.5</v>
      </c>
      <c r="K62" s="245">
        <v>4559</v>
      </c>
      <c r="L62" s="242">
        <v>71259.490000000005</v>
      </c>
      <c r="M62" s="236"/>
    </row>
    <row r="63" spans="1:14" s="3" customFormat="1" ht="16.5">
      <c r="A63" s="305"/>
      <c r="B63" s="5" t="str">
        <f>IF(L!$A$1=1,L!B186,IF(L!$A$1=2,L!C186,L!D186))</f>
        <v>2019 Gusht</v>
      </c>
      <c r="C63" s="242">
        <f t="shared" si="8"/>
        <v>431535.95</v>
      </c>
      <c r="D63" s="194">
        <v>206915.1</v>
      </c>
      <c r="E63" s="195">
        <v>28676.85</v>
      </c>
      <c r="F63" s="242">
        <v>10874.8</v>
      </c>
      <c r="G63" s="196">
        <v>19966</v>
      </c>
      <c r="H63" s="196">
        <f>69345+6060</f>
        <v>75405</v>
      </c>
      <c r="I63" s="256">
        <v>18950</v>
      </c>
      <c r="J63" s="244">
        <v>8636.5</v>
      </c>
      <c r="K63" s="256">
        <v>581</v>
      </c>
      <c r="L63" s="242">
        <v>61530.7</v>
      </c>
      <c r="M63" s="212"/>
      <c r="N63" s="230"/>
    </row>
    <row r="64" spans="1:14" s="3" customFormat="1" ht="16.5">
      <c r="A64" s="305"/>
      <c r="B64" s="5" t="str">
        <f>IF(L!$A$1=1,L!B187,IF(L!$A$1=2,L!C187,L!D187))</f>
        <v>2019 Shtator</v>
      </c>
      <c r="C64" s="242">
        <f t="shared" si="8"/>
        <v>393344.94</v>
      </c>
      <c r="D64" s="194">
        <v>203313.93</v>
      </c>
      <c r="E64" s="195">
        <v>30200.89</v>
      </c>
      <c r="F64" s="242">
        <v>3338.62</v>
      </c>
      <c r="G64" s="196">
        <v>19254.5</v>
      </c>
      <c r="H64" s="258">
        <f>55242.5+2950</f>
        <v>58192.5</v>
      </c>
      <c r="I64" s="253">
        <v>20670</v>
      </c>
      <c r="J64" s="197">
        <v>11255.5</v>
      </c>
      <c r="K64" s="251">
        <v>5613</v>
      </c>
      <c r="L64" s="242">
        <v>41506</v>
      </c>
      <c r="M64" s="9"/>
      <c r="N64" s="222"/>
    </row>
    <row r="65" spans="1:14" s="3" customFormat="1" ht="15.75">
      <c r="A65" s="305"/>
      <c r="B65" s="5" t="str">
        <f>IF(L!$A$1=1,L!B188,IF(L!$A$1=2,L!C188,L!D188))</f>
        <v>2019 Tetor</v>
      </c>
      <c r="C65" s="109">
        <f t="shared" si="8"/>
        <v>421839.52</v>
      </c>
      <c r="D65" s="210">
        <v>182679.82</v>
      </c>
      <c r="E65" s="103">
        <v>23138.66</v>
      </c>
      <c r="F65" s="109">
        <v>35421.15</v>
      </c>
      <c r="G65" s="104">
        <v>16359</v>
      </c>
      <c r="H65" s="260">
        <f>65866+5155</f>
        <v>71021</v>
      </c>
      <c r="I65" s="104">
        <v>17820</v>
      </c>
      <c r="J65" s="105">
        <v>9526</v>
      </c>
      <c r="K65" s="110">
        <v>7700</v>
      </c>
      <c r="L65" s="109">
        <v>58173.89</v>
      </c>
      <c r="M65" s="259"/>
    </row>
    <row r="66" spans="1:14" s="3" customFormat="1" ht="15.75" thickBot="1">
      <c r="A66" s="305"/>
      <c r="B66" s="5" t="str">
        <f>IF(L!$A$1=1,L!B189,IF(L!$A$1=2,L!C189,L!D189))</f>
        <v xml:space="preserve">2019 Nëntor </v>
      </c>
      <c r="C66" s="101">
        <f t="shared" si="8"/>
        <v>299075.54000000004</v>
      </c>
      <c r="D66" s="210">
        <v>85548.98</v>
      </c>
      <c r="E66" s="101">
        <v>59980.36</v>
      </c>
      <c r="F66" s="101">
        <f>6503+143</f>
        <v>6646</v>
      </c>
      <c r="G66" s="101">
        <v>13111.2</v>
      </c>
      <c r="H66" s="101">
        <f>57571+4385</f>
        <v>61956</v>
      </c>
      <c r="I66" s="101">
        <v>17960</v>
      </c>
      <c r="J66" s="101">
        <v>11259</v>
      </c>
      <c r="K66" s="101">
        <v>5862</v>
      </c>
      <c r="L66" s="101">
        <v>36752</v>
      </c>
      <c r="M66" s="241"/>
      <c r="N66" s="231"/>
    </row>
    <row r="67" spans="1:14" s="3" customFormat="1" ht="15.75" thickBot="1">
      <c r="A67" s="305"/>
      <c r="B67" s="5" t="str">
        <f>IF(L!$A$1=1,L!B190,IF(L!$A$1=2,L!C190,L!D190))</f>
        <v>2019 Dhjetor</v>
      </c>
      <c r="C67" s="101">
        <f t="shared" si="8"/>
        <v>419944.45</v>
      </c>
      <c r="D67" s="210">
        <v>142548.89000000001</v>
      </c>
      <c r="E67" s="121">
        <v>87158.56</v>
      </c>
      <c r="F67" s="101">
        <v>24786</v>
      </c>
      <c r="G67" s="101">
        <v>16331</v>
      </c>
      <c r="H67" s="101">
        <f>51973+4050</f>
        <v>56023</v>
      </c>
      <c r="I67" s="101">
        <v>18630</v>
      </c>
      <c r="J67" s="188">
        <v>12283</v>
      </c>
      <c r="K67" s="101">
        <v>7145</v>
      </c>
      <c r="L67" s="101">
        <v>55039</v>
      </c>
      <c r="M67" s="9"/>
      <c r="N67" s="222"/>
    </row>
    <row r="68" spans="1:14" s="3" customFormat="1">
      <c r="A68" s="305"/>
      <c r="B68" s="6" t="str">
        <f>IF(L!$A$1=1,L!B191,IF(L!$A$1=2,L!C191,L!D191))</f>
        <v>Gjithsej 2019</v>
      </c>
      <c r="C68" s="106">
        <f t="shared" si="8"/>
        <v>4614773.32</v>
      </c>
      <c r="D68" s="107">
        <f>SUM(D56:D67)</f>
        <v>1934045.96</v>
      </c>
      <c r="E68" s="107">
        <f>SUM(E56:E67)</f>
        <v>513820.16999999993</v>
      </c>
      <c r="F68" s="107">
        <f>SUM(F56:F67)</f>
        <v>170829.17</v>
      </c>
      <c r="G68" s="107">
        <f t="shared" ref="G68:K68" si="10">SUM(G56:G67)</f>
        <v>197955.7</v>
      </c>
      <c r="H68" s="107">
        <f t="shared" si="10"/>
        <v>789772</v>
      </c>
      <c r="I68" s="107">
        <f t="shared" si="10"/>
        <v>213070</v>
      </c>
      <c r="J68" s="107">
        <f t="shared" si="10"/>
        <v>107917.2</v>
      </c>
      <c r="K68" s="107">
        <f t="shared" si="10"/>
        <v>116570</v>
      </c>
      <c r="L68" s="107">
        <f>SUM(L56:L67)</f>
        <v>570793.12</v>
      </c>
      <c r="M68" s="9"/>
    </row>
    <row r="69" spans="1:14" s="3" customFormat="1" ht="16.5">
      <c r="A69" s="305">
        <v>2020</v>
      </c>
      <c r="B69" s="5" t="str">
        <f>IF(L!$A$1=1,L!B192,IF(L!$A$1=2,L!C192,L!D192))</f>
        <v>2020 Janar</v>
      </c>
      <c r="C69" s="242">
        <f>SUM(D69:L69)</f>
        <v>387408.06</v>
      </c>
      <c r="D69" s="194">
        <v>111800.98</v>
      </c>
      <c r="E69" s="195">
        <v>106750.69</v>
      </c>
      <c r="F69" s="242">
        <v>8489</v>
      </c>
      <c r="G69" s="254">
        <v>8533</v>
      </c>
      <c r="H69" s="243">
        <f>53816.5+6390</f>
        <v>60206.5</v>
      </c>
      <c r="I69" s="255">
        <v>10670</v>
      </c>
      <c r="J69" s="244">
        <f>9883.5-6000</f>
        <v>3883.5</v>
      </c>
      <c r="K69" s="245">
        <v>34669</v>
      </c>
      <c r="L69" s="242">
        <v>42405.39</v>
      </c>
      <c r="M69" s="212"/>
      <c r="N69" s="222"/>
    </row>
    <row r="70" spans="1:14" s="3" customFormat="1" ht="16.5">
      <c r="A70" s="305"/>
      <c r="B70" s="5" t="str">
        <f>IF(L!$A$1=1,L!B193,IF(L!$A$1=2,L!C193,L!D193))</f>
        <v>2020 Shkurt</v>
      </c>
      <c r="C70" s="246">
        <f>SUM(D70:L70)</f>
        <v>312359.07999999996</v>
      </c>
      <c r="D70" s="202">
        <v>91040.22</v>
      </c>
      <c r="E70" s="203">
        <v>18312.43</v>
      </c>
      <c r="F70" s="246">
        <f>1326+1668</f>
        <v>2994</v>
      </c>
      <c r="G70" s="204">
        <v>14305</v>
      </c>
      <c r="H70" s="247">
        <f>58561.5+5100</f>
        <v>63661.5</v>
      </c>
      <c r="I70" s="204">
        <v>16000</v>
      </c>
      <c r="J70" s="267">
        <v>11736</v>
      </c>
      <c r="K70" s="248">
        <v>8122</v>
      </c>
      <c r="L70" s="242">
        <v>86187.93</v>
      </c>
      <c r="M70" s="212"/>
    </row>
    <row r="71" spans="1:14" s="3" customFormat="1" ht="16.5">
      <c r="A71" s="305"/>
      <c r="B71" s="5" t="str">
        <f>IF(L!$A$1=1,L!B194,IF(L!$A$1=2,L!C194,L!D194))</f>
        <v xml:space="preserve">2020 Mars </v>
      </c>
      <c r="C71" s="249">
        <f t="shared" ref="C71:C81" si="11">SUM(D71:L71)</f>
        <v>417077.33</v>
      </c>
      <c r="D71" s="250">
        <v>53171.07</v>
      </c>
      <c r="E71" s="195">
        <v>258426.57</v>
      </c>
      <c r="F71" s="242">
        <v>3126</v>
      </c>
      <c r="G71" s="196">
        <v>9635</v>
      </c>
      <c r="H71" s="196">
        <f>1900+36641</f>
        <v>38541</v>
      </c>
      <c r="I71" s="256">
        <v>10150</v>
      </c>
      <c r="J71" s="197">
        <v>8021.5</v>
      </c>
      <c r="K71" s="244">
        <v>2816</v>
      </c>
      <c r="L71" s="242">
        <v>33190.19</v>
      </c>
      <c r="M71" s="268"/>
    </row>
    <row r="72" spans="1:14" s="3" customFormat="1" ht="16.5">
      <c r="A72" s="305"/>
      <c r="B72" s="5" t="str">
        <f>IF(L!$A$1=1,L!B195,IF(L!$A$1=2,L!C195,L!D195))</f>
        <v>2020 Prill</v>
      </c>
      <c r="C72" s="249">
        <f t="shared" si="11"/>
        <v>287850.37</v>
      </c>
      <c r="D72" s="270">
        <v>9062.6200000000008</v>
      </c>
      <c r="E72" s="244">
        <v>177628.75</v>
      </c>
      <c r="F72" s="242">
        <v>53883</v>
      </c>
      <c r="G72" s="196">
        <v>1371</v>
      </c>
      <c r="H72" s="287">
        <v>11655</v>
      </c>
      <c r="I72" s="256">
        <v>1340</v>
      </c>
      <c r="J72" s="244">
        <v>1300.5</v>
      </c>
      <c r="K72" s="251">
        <v>59</v>
      </c>
      <c r="L72" s="242">
        <v>31550.5</v>
      </c>
      <c r="M72" s="212"/>
      <c r="N72" s="229"/>
    </row>
    <row r="73" spans="1:14" s="240" customFormat="1" ht="16.5">
      <c r="A73" s="305"/>
      <c r="B73" s="237" t="str">
        <f>IF(L!$A$1=1,L!B196,IF(L!$A$1=2,L!C196,L!D196))</f>
        <v>2020 Maj</v>
      </c>
      <c r="C73" s="245">
        <f t="shared" si="11"/>
        <v>181866.65999999997</v>
      </c>
      <c r="D73" s="244">
        <v>52122.45</v>
      </c>
      <c r="E73" s="195">
        <v>47708.41</v>
      </c>
      <c r="F73" s="245">
        <v>13915</v>
      </c>
      <c r="G73" s="196">
        <v>1573</v>
      </c>
      <c r="H73" s="288">
        <v>25823</v>
      </c>
      <c r="I73" s="196">
        <v>14030</v>
      </c>
      <c r="J73" s="197">
        <v>2261</v>
      </c>
      <c r="K73" s="245">
        <v>500</v>
      </c>
      <c r="L73" s="245">
        <v>23933.8</v>
      </c>
      <c r="M73" s="238"/>
      <c r="N73" s="239"/>
    </row>
    <row r="74" spans="1:14" s="3" customFormat="1" ht="16.5">
      <c r="A74" s="305"/>
      <c r="B74" s="5" t="str">
        <f>IF(L!$A$1=1,L!B197,IF(L!$A$1=2,L!C197,L!D197))</f>
        <v>2020 Qershor</v>
      </c>
      <c r="C74" s="242">
        <f t="shared" si="11"/>
        <v>360052.82</v>
      </c>
      <c r="D74" s="270">
        <v>140008.97</v>
      </c>
      <c r="E74" s="195">
        <v>81873.570000000007</v>
      </c>
      <c r="F74" s="242">
        <v>5896.2</v>
      </c>
      <c r="G74" s="196">
        <v>7649</v>
      </c>
      <c r="H74" s="289">
        <f>43341+645</f>
        <v>43986</v>
      </c>
      <c r="I74" s="196">
        <v>27840</v>
      </c>
      <c r="J74" s="197">
        <v>4979</v>
      </c>
      <c r="K74" s="245">
        <v>8635</v>
      </c>
      <c r="L74" s="242">
        <v>39185.08</v>
      </c>
      <c r="M74" s="212"/>
      <c r="N74" s="230"/>
    </row>
    <row r="75" spans="1:14" s="3" customFormat="1" ht="16.5">
      <c r="A75" s="305"/>
      <c r="B75" s="5" t="str">
        <f>IF(L!$A$1=1,L!B198,IF(L!$A$1=2,L!C198,L!D198))</f>
        <v>2020 Korrik</v>
      </c>
      <c r="C75" s="242">
        <f t="shared" si="11"/>
        <v>338931.77999999997</v>
      </c>
      <c r="D75" s="244">
        <v>178025.5</v>
      </c>
      <c r="E75" s="195">
        <v>16086.72</v>
      </c>
      <c r="F75" s="242">
        <v>6577.5</v>
      </c>
      <c r="G75" s="196">
        <v>11850</v>
      </c>
      <c r="H75" s="250">
        <v>61914</v>
      </c>
      <c r="I75" s="253">
        <v>23550</v>
      </c>
      <c r="J75" s="197">
        <v>5081</v>
      </c>
      <c r="K75" s="245">
        <v>500</v>
      </c>
      <c r="L75" s="242">
        <v>35347.06</v>
      </c>
      <c r="M75" s="236"/>
    </row>
    <row r="76" spans="1:14" s="3" customFormat="1" ht="16.5">
      <c r="A76" s="305"/>
      <c r="B76" s="5" t="str">
        <f>IF(L!$A$1=1,L!B199,IF(L!$A$1=2,L!C199,L!D199))</f>
        <v>2020 Gusht</v>
      </c>
      <c r="C76" s="290">
        <f t="shared" si="11"/>
        <v>314319.65000000002</v>
      </c>
      <c r="D76" s="194">
        <v>118332.70999999999</v>
      </c>
      <c r="E76" s="195">
        <v>26687.19</v>
      </c>
      <c r="F76" s="242">
        <v>5997</v>
      </c>
      <c r="G76" s="196">
        <v>11631</v>
      </c>
      <c r="H76" s="196">
        <v>70194.5</v>
      </c>
      <c r="I76" s="256">
        <v>26150</v>
      </c>
      <c r="J76" s="244">
        <v>4646.5</v>
      </c>
      <c r="K76" s="256">
        <v>550</v>
      </c>
      <c r="L76" s="242">
        <v>50130.75</v>
      </c>
      <c r="M76" s="212"/>
      <c r="N76" s="230"/>
    </row>
    <row r="77" spans="1:14" s="3" customFormat="1" ht="16.5">
      <c r="A77" s="305"/>
      <c r="B77" s="5" t="str">
        <f>IF(L!$A$1=1,L!B200,IF(L!$A$1=2,L!C200,L!D200))</f>
        <v>2020 Shtator</v>
      </c>
      <c r="C77" s="242">
        <f t="shared" si="11"/>
        <v>311015.89</v>
      </c>
      <c r="D77" s="293">
        <v>103421.48</v>
      </c>
      <c r="E77" s="195">
        <v>45187.27</v>
      </c>
      <c r="F77" s="242">
        <v>5357</v>
      </c>
      <c r="G77" s="196">
        <v>8179</v>
      </c>
      <c r="H77" s="291">
        <f>86233+1545</f>
        <v>87778</v>
      </c>
      <c r="I77" s="253">
        <v>10070</v>
      </c>
      <c r="J77" s="197">
        <v>5055</v>
      </c>
      <c r="K77" s="251">
        <v>620</v>
      </c>
      <c r="L77" s="242">
        <v>45348.14</v>
      </c>
      <c r="M77" s="212"/>
      <c r="N77" s="222"/>
    </row>
    <row r="78" spans="1:14" s="3" customFormat="1" ht="15.75">
      <c r="A78" s="305"/>
      <c r="B78" s="5" t="str">
        <f>IF(L!$A$1=1,L!B201,IF(L!$A$1=2,L!C201,L!D201))</f>
        <v>2020 Tetor</v>
      </c>
      <c r="C78" s="109">
        <f t="shared" si="11"/>
        <v>490531.89</v>
      </c>
      <c r="D78" s="210">
        <v>236469.98</v>
      </c>
      <c r="E78" s="103">
        <v>64292.82</v>
      </c>
      <c r="F78" s="109">
        <v>18390.45</v>
      </c>
      <c r="G78" s="104">
        <v>14652</v>
      </c>
      <c r="H78" s="260">
        <f>64251+2530.88</f>
        <v>66781.88</v>
      </c>
      <c r="I78" s="104">
        <v>29240</v>
      </c>
      <c r="J78" s="105">
        <v>8067</v>
      </c>
      <c r="K78" s="110">
        <v>8691</v>
      </c>
      <c r="L78" s="109">
        <v>43946.76</v>
      </c>
      <c r="M78" s="259"/>
    </row>
    <row r="79" spans="1:14" s="3" customFormat="1" ht="15.75" thickBot="1">
      <c r="A79" s="305"/>
      <c r="B79" s="5" t="str">
        <f>IF(L!$A$1=1,L!B202,IF(L!$A$1=2,L!C202,L!D202))</f>
        <v xml:space="preserve">2020 Nëntor </v>
      </c>
      <c r="C79" s="101">
        <f t="shared" si="11"/>
        <v>295599.34999999998</v>
      </c>
      <c r="D79" s="210">
        <v>110783.03999999999</v>
      </c>
      <c r="E79" s="101">
        <v>17442.009999999998</v>
      </c>
      <c r="F79" s="101">
        <v>13206.8</v>
      </c>
      <c r="G79" s="101">
        <v>8610</v>
      </c>
      <c r="H79" s="101">
        <f>63544+3835</f>
        <v>67379</v>
      </c>
      <c r="I79" s="101">
        <v>19550</v>
      </c>
      <c r="J79" s="101">
        <v>7736.5</v>
      </c>
      <c r="K79" s="101">
        <v>1769</v>
      </c>
      <c r="L79" s="101">
        <v>49123</v>
      </c>
      <c r="M79" s="241"/>
      <c r="N79" s="231"/>
    </row>
    <row r="80" spans="1:14" s="3" customFormat="1" ht="15.75" thickBot="1">
      <c r="A80" s="305"/>
      <c r="B80" s="5" t="str">
        <f>IF(L!$A$1=1,L!B203,IF(L!$A$1=2,L!C203,L!D203))</f>
        <v>2020 Dhjetor</v>
      </c>
      <c r="C80" s="101">
        <f t="shared" si="11"/>
        <v>451171.42</v>
      </c>
      <c r="D80" s="210">
        <v>207859.65</v>
      </c>
      <c r="E80" s="121">
        <v>22159.77</v>
      </c>
      <c r="F80" s="101">
        <v>26237.5</v>
      </c>
      <c r="G80" s="101">
        <v>14373.5</v>
      </c>
      <c r="H80" s="101">
        <f>70993.5+8975</f>
        <v>79968.5</v>
      </c>
      <c r="I80" s="101">
        <v>21490</v>
      </c>
      <c r="J80" s="188">
        <v>10174.5</v>
      </c>
      <c r="K80" s="278">
        <v>1416</v>
      </c>
      <c r="L80" s="101">
        <v>67492</v>
      </c>
      <c r="M80" s="9"/>
      <c r="N80" s="222"/>
    </row>
    <row r="81" spans="1:14" s="3" customFormat="1">
      <c r="A81" s="305"/>
      <c r="B81" s="6" t="str">
        <f>IF(L!$A$1=1,L!B204,IF(L!$A$1=2,L!C204,L!D204))</f>
        <v>Gjithsej 2020</v>
      </c>
      <c r="C81" s="106">
        <f t="shared" si="11"/>
        <v>4148184.3</v>
      </c>
      <c r="D81" s="107">
        <f>SUM(D69:D80)</f>
        <v>1412098.67</v>
      </c>
      <c r="E81" s="107">
        <f>SUM(E69:E80)</f>
        <v>882556.19999999984</v>
      </c>
      <c r="F81" s="107">
        <f>SUM(F69:F80)</f>
        <v>164069.44999999998</v>
      </c>
      <c r="G81" s="107">
        <f t="shared" ref="G81:K81" si="12">SUM(G69:G80)</f>
        <v>112361.5</v>
      </c>
      <c r="H81" s="107">
        <f t="shared" si="12"/>
        <v>677888.88</v>
      </c>
      <c r="I81" s="107">
        <f t="shared" si="12"/>
        <v>210080</v>
      </c>
      <c r="J81" s="107">
        <f t="shared" si="12"/>
        <v>72942</v>
      </c>
      <c r="K81" s="107">
        <f t="shared" si="12"/>
        <v>68347</v>
      </c>
      <c r="L81" s="107">
        <f>SUM(L69:L80)</f>
        <v>547840.60000000009</v>
      </c>
      <c r="M81" s="9"/>
    </row>
    <row r="82" spans="1:14" s="3" customFormat="1" ht="16.5">
      <c r="A82" s="294"/>
      <c r="B82" s="5" t="str">
        <f>IF(L!$A$1=1,L!B205,IF(L!$A$1=2,L!C205,L!D205))</f>
        <v>2021 Janar</v>
      </c>
      <c r="C82" s="242">
        <f>SUM(D82:L82)</f>
        <v>306008.77</v>
      </c>
      <c r="D82" s="194">
        <v>130039</v>
      </c>
      <c r="E82" s="195">
        <v>70627.39</v>
      </c>
      <c r="F82" s="242">
        <v>35019.65</v>
      </c>
      <c r="G82" s="297">
        <v>5132</v>
      </c>
      <c r="H82" s="243"/>
      <c r="I82" s="255">
        <v>14140</v>
      </c>
      <c r="J82" s="244">
        <v>2846</v>
      </c>
      <c r="K82" s="245">
        <v>13309</v>
      </c>
      <c r="L82" s="242">
        <v>34895.730000000003</v>
      </c>
      <c r="M82" s="212"/>
      <c r="N82" s="222"/>
    </row>
    <row r="83" spans="1:14" s="3" customFormat="1" ht="16.5">
      <c r="A83" s="305">
        <v>2021</v>
      </c>
      <c r="B83" s="5" t="str">
        <f>IF(L!$A$1=1,L!B206,IF(L!$A$1=2,L!C206,L!D206))</f>
        <v>2021 Shkurt</v>
      </c>
      <c r="C83" s="242">
        <f>SUM(D83:L83)</f>
        <v>389441</v>
      </c>
      <c r="D83" s="194">
        <v>150011.18</v>
      </c>
      <c r="E83" s="195">
        <v>131494.35999999999</v>
      </c>
      <c r="F83" s="242">
        <v>9317</v>
      </c>
      <c r="G83" s="297">
        <v>9647</v>
      </c>
      <c r="H83" s="243"/>
      <c r="I83" s="255">
        <v>12390</v>
      </c>
      <c r="J83" s="244">
        <v>7597</v>
      </c>
      <c r="K83" s="245">
        <v>15487</v>
      </c>
      <c r="L83" s="242">
        <v>53497.46</v>
      </c>
      <c r="M83" s="212"/>
      <c r="N83" s="222"/>
    </row>
    <row r="84" spans="1:14" s="3" customFormat="1" ht="16.5">
      <c r="A84" s="305"/>
      <c r="B84" s="5" t="str">
        <f>IF(L!$A$1=1,L!B207,IF(L!$A$1=2,L!C207,L!D207))</f>
        <v xml:space="preserve">2021 Mars </v>
      </c>
      <c r="C84" s="246">
        <f>SUM(D84:L84)</f>
        <v>0</v>
      </c>
      <c r="D84" s="295"/>
      <c r="E84" s="203"/>
      <c r="F84" s="246"/>
      <c r="G84" s="204"/>
      <c r="H84" s="247"/>
      <c r="I84" s="204"/>
      <c r="J84" s="267"/>
      <c r="K84" s="248"/>
      <c r="L84" s="242"/>
      <c r="M84" s="236"/>
    </row>
    <row r="85" spans="1:14" s="3" customFormat="1" ht="16.5">
      <c r="A85" s="305"/>
      <c r="B85" s="5" t="str">
        <f>IF(L!$A$1=1,L!B208,IF(L!$A$1=2,L!C208,L!D208))</f>
        <v>2021 Prill</v>
      </c>
      <c r="C85" s="249">
        <f t="shared" ref="C85:C94" si="13">SUM(D85:L85)</f>
        <v>0</v>
      </c>
      <c r="D85" s="250"/>
      <c r="E85" s="195"/>
      <c r="F85" s="242"/>
      <c r="G85" s="196"/>
      <c r="H85" s="196"/>
      <c r="I85" s="256"/>
      <c r="J85" s="296"/>
      <c r="K85" s="296"/>
      <c r="L85" s="242"/>
      <c r="M85" s="212"/>
      <c r="N85" s="230"/>
    </row>
    <row r="86" spans="1:14" s="3" customFormat="1" ht="16.5">
      <c r="A86" s="305"/>
      <c r="B86" s="5" t="str">
        <f>IF(L!$A$1=1,L!B209,IF(L!$A$1=2,L!C209,L!D209))</f>
        <v>2021 Maj</v>
      </c>
      <c r="C86" s="249">
        <f t="shared" si="13"/>
        <v>0</v>
      </c>
      <c r="D86" s="270"/>
      <c r="E86" s="244"/>
      <c r="F86" s="242"/>
      <c r="G86" s="196"/>
      <c r="H86" s="287"/>
      <c r="I86" s="256"/>
      <c r="J86" s="244"/>
      <c r="K86" s="251"/>
      <c r="L86" s="242"/>
      <c r="M86" s="212"/>
      <c r="N86" s="222"/>
    </row>
    <row r="87" spans="1:14" s="240" customFormat="1" ht="16.5">
      <c r="A87" s="305"/>
      <c r="B87" s="237" t="str">
        <f>IF(L!$A$1=1,L!B210,IF(L!$A$1=2,L!C210,L!D210))</f>
        <v>2021 Qershor</v>
      </c>
      <c r="C87" s="245">
        <f t="shared" si="13"/>
        <v>0</v>
      </c>
      <c r="D87" s="244"/>
      <c r="E87" s="195"/>
      <c r="F87" s="245"/>
      <c r="G87" s="196"/>
      <c r="H87" s="288"/>
      <c r="I87" s="196"/>
      <c r="J87" s="197"/>
      <c r="K87" s="245"/>
      <c r="L87" s="245"/>
      <c r="M87" s="259"/>
      <c r="N87" s="3"/>
    </row>
    <row r="88" spans="1:14" s="3" customFormat="1" ht="16.5">
      <c r="A88" s="305"/>
      <c r="B88" s="5" t="str">
        <f>IF(L!$A$1=1,L!B211,IF(L!$A$1=2,L!C211,L!D211))</f>
        <v>2021 Korrik</v>
      </c>
      <c r="C88" s="242">
        <f t="shared" si="13"/>
        <v>0</v>
      </c>
      <c r="D88" s="270"/>
      <c r="E88" s="195"/>
      <c r="F88" s="242"/>
      <c r="G88" s="196"/>
      <c r="H88" s="289"/>
      <c r="I88" s="196"/>
      <c r="J88" s="197"/>
      <c r="K88" s="245"/>
      <c r="L88" s="242"/>
      <c r="M88" s="241"/>
      <c r="N88" s="231"/>
    </row>
    <row r="89" spans="1:14" s="3" customFormat="1" ht="16.5">
      <c r="A89" s="305"/>
      <c r="B89" s="5" t="str">
        <f>IF(L!$A$1=1,L!B212,IF(L!$A$1=2,L!C212,L!D212))</f>
        <v>2021 Gusht</v>
      </c>
      <c r="C89" s="242">
        <f t="shared" si="13"/>
        <v>0</v>
      </c>
      <c r="D89" s="244"/>
      <c r="E89" s="195"/>
      <c r="F89" s="242"/>
      <c r="G89" s="196"/>
      <c r="H89" s="250"/>
      <c r="I89" s="253"/>
      <c r="J89" s="197"/>
      <c r="K89" s="245"/>
      <c r="L89" s="242"/>
      <c r="M89" s="9"/>
      <c r="N89" s="222"/>
    </row>
    <row r="90" spans="1:14" s="3" customFormat="1" ht="16.5">
      <c r="A90" s="305"/>
      <c r="B90" s="5" t="str">
        <f>IF(L!$A$1=1,L!B213,IF(L!$A$1=2,L!C213,L!D213))</f>
        <v>2021 Shtator</v>
      </c>
      <c r="C90" s="290">
        <f t="shared" si="13"/>
        <v>0</v>
      </c>
      <c r="D90" s="194"/>
      <c r="E90" s="195"/>
      <c r="F90" s="242"/>
      <c r="G90" s="196"/>
      <c r="H90" s="196"/>
      <c r="I90" s="256"/>
      <c r="J90" s="244"/>
      <c r="K90" s="256"/>
      <c r="L90" s="242"/>
      <c r="M90" s="9"/>
    </row>
    <row r="91" spans="1:14" s="3" customFormat="1" ht="16.5">
      <c r="A91" s="305"/>
      <c r="B91" s="5" t="str">
        <f>IF(L!$A$1=1,L!B214,IF(L!$A$1=2,L!C214,L!D214))</f>
        <v>2021 Tetor</v>
      </c>
      <c r="C91" s="242">
        <f t="shared" si="13"/>
        <v>0</v>
      </c>
      <c r="D91" s="293"/>
      <c r="E91" s="195"/>
      <c r="F91" s="242"/>
      <c r="G91" s="196"/>
      <c r="H91" s="291"/>
      <c r="I91" s="253"/>
      <c r="J91" s="197"/>
      <c r="K91" s="251"/>
      <c r="L91" s="242"/>
      <c r="M91" s="9"/>
      <c r="N91" s="222"/>
    </row>
    <row r="92" spans="1:14" s="3" customFormat="1" ht="15.75">
      <c r="A92" s="305"/>
      <c r="B92" s="5" t="str">
        <f>IF(L!$A$1=1,L!B215,IF(L!$A$1=2,L!C215,L!D215))</f>
        <v xml:space="preserve">2021 Nëntor </v>
      </c>
      <c r="C92" s="109">
        <f t="shared" si="13"/>
        <v>0</v>
      </c>
      <c r="D92" s="210"/>
      <c r="E92" s="103"/>
      <c r="F92" s="109"/>
      <c r="G92" s="104"/>
      <c r="H92" s="260"/>
      <c r="I92" s="104"/>
      <c r="J92" s="105"/>
      <c r="K92" s="110"/>
      <c r="L92" s="109"/>
      <c r="M92" s="9"/>
    </row>
    <row r="93" spans="1:14" s="3" customFormat="1" ht="15.75" thickBot="1">
      <c r="A93" s="305"/>
      <c r="B93" s="5" t="str">
        <f>IF(L!$A$1=1,L!B216,IF(L!$A$1=2,L!C216,L!D216))</f>
        <v>2021 Dhjetor</v>
      </c>
      <c r="C93" s="101">
        <f t="shared" si="13"/>
        <v>0</v>
      </c>
      <c r="D93" s="210"/>
      <c r="E93" s="101"/>
      <c r="F93" s="101"/>
      <c r="G93" s="101"/>
      <c r="H93" s="101"/>
      <c r="I93" s="101"/>
      <c r="J93" s="101"/>
      <c r="K93" s="101"/>
      <c r="L93" s="101"/>
      <c r="M93" s="9"/>
    </row>
    <row r="94" spans="1:14" s="3" customFormat="1" ht="15.75" thickBot="1">
      <c r="A94" s="305"/>
      <c r="B94" s="5" t="str">
        <f>IF(L!$A$1=1,L!B217,IF(L!$A$1=2,L!C217,L!D217))</f>
        <v>Gjithsej 2021</v>
      </c>
      <c r="C94" s="101">
        <f t="shared" si="13"/>
        <v>0</v>
      </c>
      <c r="D94" s="210"/>
      <c r="E94" s="121"/>
      <c r="F94" s="101"/>
      <c r="G94" s="101"/>
      <c r="H94" s="101"/>
      <c r="I94" s="101"/>
      <c r="J94" s="188"/>
      <c r="K94" s="278"/>
      <c r="L94" s="101"/>
      <c r="M94" s="9"/>
    </row>
    <row r="95" spans="1:14" s="3" customFormat="1">
      <c r="A95" s="305"/>
      <c r="B95" s="6" t="str">
        <f>IF(L!$A$1=1,L!B218,IF(L!$A$1=2,L!C218,L!D218))</f>
        <v>2022 Janar</v>
      </c>
      <c r="C95" s="106">
        <f>SUM(C82:C94)</f>
        <v>695449.77</v>
      </c>
      <c r="D95" s="106">
        <f t="shared" ref="D95:L95" si="14">SUM(D82:D94)</f>
        <v>280050.18</v>
      </c>
      <c r="E95" s="106">
        <f t="shared" si="14"/>
        <v>202121.75</v>
      </c>
      <c r="F95" s="106">
        <f t="shared" si="14"/>
        <v>44336.65</v>
      </c>
      <c r="G95" s="106">
        <f t="shared" si="14"/>
        <v>14779</v>
      </c>
      <c r="H95" s="106">
        <f t="shared" si="14"/>
        <v>0</v>
      </c>
      <c r="I95" s="106">
        <f t="shared" si="14"/>
        <v>26530</v>
      </c>
      <c r="J95" s="106">
        <f t="shared" si="14"/>
        <v>10443</v>
      </c>
      <c r="K95" s="106">
        <f t="shared" si="14"/>
        <v>28796</v>
      </c>
      <c r="L95" s="106">
        <f t="shared" si="14"/>
        <v>88393.19</v>
      </c>
      <c r="M95" s="9"/>
    </row>
    <row r="96" spans="1:14" s="3" customFormat="1">
      <c r="D96" s="4"/>
      <c r="E96" s="4"/>
      <c r="F96" s="4"/>
      <c r="M96" s="9"/>
    </row>
    <row r="97" spans="4:13" s="3" customFormat="1">
      <c r="D97" s="4"/>
      <c r="E97" s="4"/>
      <c r="F97" s="4"/>
      <c r="M97" s="9"/>
    </row>
    <row r="98" spans="4:13" s="3" customFormat="1">
      <c r="D98" s="4"/>
      <c r="E98" s="4"/>
      <c r="F98" s="4"/>
      <c r="M98" s="9"/>
    </row>
    <row r="99" spans="4:13" s="3" customFormat="1">
      <c r="D99" s="4"/>
      <c r="E99" s="4"/>
      <c r="F99" s="4"/>
      <c r="M99" s="9"/>
    </row>
    <row r="100" spans="4:13" s="3" customFormat="1">
      <c r="D100" s="4"/>
      <c r="E100" s="4"/>
      <c r="F100" s="4"/>
      <c r="M100" s="9"/>
    </row>
    <row r="101" spans="4:13" s="3" customFormat="1">
      <c r="D101" s="4"/>
      <c r="E101" s="4"/>
      <c r="F101" s="4"/>
      <c r="M101" s="9"/>
    </row>
    <row r="102" spans="4:13" s="3" customFormat="1">
      <c r="D102" s="4"/>
      <c r="E102" s="4"/>
      <c r="F102" s="4"/>
      <c r="M102" s="9"/>
    </row>
    <row r="103" spans="4:13" s="3" customFormat="1">
      <c r="D103" s="4"/>
      <c r="E103" s="4"/>
      <c r="F103" s="4"/>
      <c r="M103" s="9"/>
    </row>
    <row r="104" spans="4:13" s="3" customFormat="1">
      <c r="D104" s="4"/>
      <c r="E104" s="4"/>
      <c r="F104" s="4"/>
      <c r="M104" s="9"/>
    </row>
    <row r="105" spans="4:13" s="3" customFormat="1">
      <c r="D105" s="4"/>
      <c r="E105" s="4"/>
      <c r="F105" s="4"/>
      <c r="M105" s="9"/>
    </row>
    <row r="106" spans="4:13" s="3" customFormat="1">
      <c r="D106" s="4"/>
      <c r="E106" s="4"/>
      <c r="F106" s="4"/>
      <c r="M106" s="9"/>
    </row>
    <row r="107" spans="4:13" s="3" customFormat="1">
      <c r="D107" s="4"/>
      <c r="E107" s="4"/>
      <c r="F107" s="4"/>
      <c r="M107" s="9"/>
    </row>
    <row r="108" spans="4:13" s="3" customFormat="1">
      <c r="D108" s="4"/>
      <c r="E108" s="4"/>
      <c r="F108" s="4"/>
      <c r="M108" s="9"/>
    </row>
    <row r="109" spans="4:13" s="3" customFormat="1">
      <c r="D109" s="4"/>
      <c r="E109" s="4"/>
      <c r="F109" s="4"/>
      <c r="M109" s="9"/>
    </row>
    <row r="110" spans="4:13" s="3" customFormat="1">
      <c r="D110" s="4"/>
      <c r="E110" s="4"/>
      <c r="F110" s="4"/>
      <c r="M110" s="9"/>
    </row>
    <row r="111" spans="4:13" s="3" customFormat="1">
      <c r="D111" s="4"/>
      <c r="E111" s="4"/>
      <c r="F111" s="4"/>
      <c r="M111" s="9"/>
    </row>
    <row r="112" spans="4:13" s="3" customFormat="1">
      <c r="D112" s="4"/>
      <c r="E112" s="4"/>
      <c r="F112" s="4"/>
      <c r="M112" s="9"/>
    </row>
    <row r="113" spans="4:13" s="3" customFormat="1">
      <c r="D113" s="4"/>
      <c r="E113" s="4"/>
      <c r="F113" s="4"/>
      <c r="M113" s="9"/>
    </row>
    <row r="114" spans="4:13" s="3" customFormat="1">
      <c r="D114" s="4"/>
      <c r="E114" s="4"/>
      <c r="F114" s="4"/>
      <c r="M114" s="9"/>
    </row>
    <row r="115" spans="4:13" s="3" customFormat="1">
      <c r="D115" s="4"/>
      <c r="E115" s="4"/>
      <c r="F115" s="4"/>
      <c r="M115" s="9"/>
    </row>
    <row r="116" spans="4:13" s="3" customFormat="1">
      <c r="D116" s="4"/>
      <c r="E116" s="4"/>
      <c r="F116" s="4"/>
      <c r="M116" s="9"/>
    </row>
    <row r="117" spans="4:13" s="3" customFormat="1">
      <c r="D117" s="4"/>
      <c r="E117" s="4"/>
      <c r="F117" s="4"/>
      <c r="M117" s="9"/>
    </row>
    <row r="118" spans="4:13" s="3" customFormat="1">
      <c r="D118" s="4"/>
      <c r="E118" s="4"/>
      <c r="F118" s="4"/>
      <c r="M118" s="9"/>
    </row>
    <row r="119" spans="4:13" s="3" customFormat="1">
      <c r="D119" s="4"/>
      <c r="E119" s="4"/>
      <c r="F119" s="4"/>
      <c r="M119" s="9"/>
    </row>
    <row r="120" spans="4:13" s="3" customFormat="1">
      <c r="D120" s="4"/>
      <c r="E120" s="4"/>
      <c r="F120" s="4"/>
      <c r="M120" s="9"/>
    </row>
    <row r="121" spans="4:13" s="3" customFormat="1">
      <c r="D121" s="4"/>
      <c r="E121" s="4"/>
      <c r="F121" s="4"/>
      <c r="M121" s="9"/>
    </row>
    <row r="122" spans="4:13" s="3" customFormat="1">
      <c r="D122" s="4"/>
      <c r="E122" s="4"/>
      <c r="F122" s="4"/>
      <c r="M122" s="9"/>
    </row>
    <row r="123" spans="4:13" s="3" customFormat="1">
      <c r="D123" s="4"/>
      <c r="E123" s="4"/>
      <c r="F123" s="4"/>
      <c r="M123" s="9"/>
    </row>
    <row r="124" spans="4:13" s="3" customFormat="1">
      <c r="D124" s="4"/>
      <c r="E124" s="4"/>
      <c r="F124" s="4"/>
      <c r="M124" s="9"/>
    </row>
    <row r="125" spans="4:13" s="3" customFormat="1">
      <c r="D125" s="4"/>
      <c r="E125" s="4"/>
      <c r="F125" s="4"/>
      <c r="M125" s="9"/>
    </row>
    <row r="126" spans="4:13" s="3" customFormat="1">
      <c r="D126" s="4"/>
      <c r="E126" s="4"/>
      <c r="F126" s="4"/>
      <c r="M126" s="9"/>
    </row>
    <row r="127" spans="4:13" s="3" customFormat="1">
      <c r="D127" s="4"/>
      <c r="E127" s="4"/>
      <c r="F127" s="4"/>
      <c r="M127" s="9"/>
    </row>
    <row r="128" spans="4:13" s="3" customFormat="1">
      <c r="D128" s="4"/>
      <c r="E128" s="4"/>
      <c r="F128" s="4"/>
      <c r="M128" s="9"/>
    </row>
    <row r="129" spans="4:13" s="3" customFormat="1">
      <c r="D129" s="4"/>
      <c r="E129" s="4"/>
      <c r="F129" s="4"/>
      <c r="M129" s="9"/>
    </row>
    <row r="130" spans="4:13" s="3" customFormat="1">
      <c r="D130" s="4"/>
      <c r="E130" s="4"/>
      <c r="F130" s="4"/>
      <c r="M130" s="9"/>
    </row>
    <row r="131" spans="4:13" s="3" customFormat="1">
      <c r="D131" s="4"/>
      <c r="E131" s="4"/>
      <c r="F131" s="4"/>
      <c r="M131" s="9"/>
    </row>
    <row r="132" spans="4:13" s="3" customFormat="1">
      <c r="D132" s="4"/>
      <c r="E132" s="4"/>
      <c r="F132" s="4"/>
      <c r="M132" s="9"/>
    </row>
    <row r="133" spans="4:13" s="3" customFormat="1">
      <c r="D133" s="4"/>
      <c r="E133" s="4"/>
      <c r="F133" s="4"/>
      <c r="M133" s="9"/>
    </row>
    <row r="134" spans="4:13" s="3" customFormat="1">
      <c r="D134" s="4"/>
      <c r="E134" s="4"/>
      <c r="F134" s="4"/>
      <c r="M134" s="9"/>
    </row>
    <row r="135" spans="4:13" s="3" customFormat="1">
      <c r="D135" s="4"/>
      <c r="E135" s="4"/>
      <c r="F135" s="4"/>
      <c r="M135" s="9"/>
    </row>
    <row r="136" spans="4:13" s="3" customFormat="1">
      <c r="D136" s="4"/>
      <c r="E136" s="4"/>
      <c r="F136" s="4"/>
      <c r="M136" s="9"/>
    </row>
    <row r="137" spans="4:13" s="3" customFormat="1">
      <c r="D137" s="4"/>
      <c r="E137" s="4"/>
      <c r="F137" s="4"/>
      <c r="M137" s="9"/>
    </row>
    <row r="138" spans="4:13" s="3" customFormat="1">
      <c r="D138" s="4"/>
      <c r="E138" s="4"/>
      <c r="F138" s="4"/>
      <c r="M138" s="9"/>
    </row>
    <row r="139" spans="4:13" s="3" customFormat="1">
      <c r="D139" s="4"/>
      <c r="E139" s="4"/>
      <c r="F139" s="4"/>
      <c r="M139" s="9"/>
    </row>
    <row r="140" spans="4:13" s="3" customFormat="1">
      <c r="D140" s="4"/>
      <c r="E140" s="4"/>
      <c r="F140" s="4"/>
      <c r="M140" s="9"/>
    </row>
    <row r="141" spans="4:13" s="3" customFormat="1">
      <c r="D141" s="4"/>
      <c r="E141" s="4"/>
      <c r="F141" s="4"/>
      <c r="M141" s="9"/>
    </row>
    <row r="142" spans="4:13" s="3" customFormat="1">
      <c r="D142" s="4"/>
      <c r="E142" s="4"/>
      <c r="F142" s="4"/>
      <c r="M142" s="9"/>
    </row>
    <row r="143" spans="4:13" s="3" customFormat="1">
      <c r="D143" s="4"/>
      <c r="E143" s="4"/>
      <c r="F143" s="4"/>
      <c r="M143" s="9"/>
    </row>
    <row r="144" spans="4:13" s="3" customFormat="1">
      <c r="D144" s="4"/>
      <c r="E144" s="4"/>
      <c r="F144" s="4"/>
      <c r="M144" s="9"/>
    </row>
    <row r="145" spans="4:13" s="3" customFormat="1">
      <c r="D145" s="4"/>
      <c r="E145" s="4"/>
      <c r="F145" s="4"/>
      <c r="M145" s="9"/>
    </row>
    <row r="146" spans="4:13" s="3" customFormat="1">
      <c r="D146" s="4"/>
      <c r="E146" s="4"/>
      <c r="F146" s="4"/>
      <c r="M146" s="9"/>
    </row>
    <row r="147" spans="4:13" s="3" customFormat="1">
      <c r="D147" s="4"/>
      <c r="E147" s="4"/>
      <c r="F147" s="4"/>
      <c r="M147" s="9"/>
    </row>
    <row r="148" spans="4:13" s="3" customFormat="1">
      <c r="D148" s="4"/>
      <c r="E148" s="4"/>
      <c r="F148" s="4"/>
      <c r="M148" s="9"/>
    </row>
    <row r="149" spans="4:13" s="3" customFormat="1">
      <c r="D149" s="4"/>
      <c r="E149" s="4"/>
      <c r="F149" s="4"/>
      <c r="M149" s="9"/>
    </row>
    <row r="150" spans="4:13" s="3" customFormat="1">
      <c r="D150" s="4"/>
      <c r="E150" s="4"/>
      <c r="F150" s="4"/>
      <c r="M150" s="9"/>
    </row>
    <row r="151" spans="4:13" s="3" customFormat="1">
      <c r="D151" s="4"/>
      <c r="E151" s="4"/>
      <c r="F151" s="4"/>
      <c r="M151" s="9"/>
    </row>
    <row r="152" spans="4:13" s="3" customFormat="1">
      <c r="D152" s="4"/>
      <c r="E152" s="4"/>
      <c r="F152" s="4"/>
      <c r="M152" s="9"/>
    </row>
    <row r="153" spans="4:13" s="3" customFormat="1">
      <c r="D153" s="4"/>
      <c r="E153" s="4"/>
      <c r="F153" s="4"/>
      <c r="M153" s="9"/>
    </row>
    <row r="154" spans="4:13" s="3" customFormat="1">
      <c r="D154" s="4"/>
      <c r="E154" s="4"/>
      <c r="F154" s="4"/>
      <c r="M154" s="9"/>
    </row>
    <row r="155" spans="4:13" s="3" customFormat="1">
      <c r="D155" s="4"/>
      <c r="E155" s="4"/>
      <c r="F155" s="4"/>
      <c r="M155" s="9"/>
    </row>
    <row r="156" spans="4:13" s="3" customFormat="1">
      <c r="D156" s="4"/>
      <c r="E156" s="4"/>
      <c r="F156" s="4"/>
      <c r="M156" s="9"/>
    </row>
    <row r="157" spans="4:13" s="3" customFormat="1">
      <c r="D157" s="4"/>
      <c r="E157" s="4"/>
      <c r="F157" s="4"/>
      <c r="M157" s="9"/>
    </row>
    <row r="158" spans="4:13" s="3" customFormat="1">
      <c r="D158" s="4"/>
      <c r="E158" s="4"/>
      <c r="F158" s="4"/>
      <c r="M158" s="9"/>
    </row>
    <row r="159" spans="4:13" s="3" customFormat="1">
      <c r="D159" s="4"/>
      <c r="E159" s="4"/>
      <c r="F159" s="4"/>
      <c r="M159" s="9"/>
    </row>
    <row r="160" spans="4:13" s="3" customFormat="1">
      <c r="D160" s="4"/>
      <c r="E160" s="4"/>
      <c r="F160" s="4"/>
      <c r="M160" s="9"/>
    </row>
    <row r="161" spans="4:13" s="3" customFormat="1">
      <c r="D161" s="4"/>
      <c r="E161" s="4"/>
      <c r="F161" s="4"/>
      <c r="M161" s="9"/>
    </row>
    <row r="162" spans="4:13" s="3" customFormat="1">
      <c r="D162" s="4"/>
      <c r="E162" s="4"/>
      <c r="F162" s="4"/>
      <c r="M162" s="9"/>
    </row>
    <row r="163" spans="4:13" s="3" customFormat="1">
      <c r="D163" s="4"/>
      <c r="E163" s="4"/>
      <c r="F163" s="4"/>
      <c r="M163" s="9"/>
    </row>
    <row r="164" spans="4:13" s="3" customFormat="1">
      <c r="D164" s="4"/>
      <c r="E164" s="4"/>
      <c r="F164" s="4"/>
      <c r="M164" s="9"/>
    </row>
    <row r="165" spans="4:13" s="3" customFormat="1">
      <c r="D165" s="4"/>
      <c r="E165" s="4"/>
      <c r="F165" s="4"/>
      <c r="M165" s="9"/>
    </row>
    <row r="166" spans="4:13" s="3" customFormat="1">
      <c r="D166" s="4"/>
      <c r="E166" s="4"/>
      <c r="F166" s="4"/>
      <c r="M166" s="9"/>
    </row>
    <row r="167" spans="4:13" s="3" customFormat="1">
      <c r="D167" s="4"/>
      <c r="E167" s="4"/>
      <c r="F167" s="4"/>
      <c r="M167" s="9"/>
    </row>
    <row r="168" spans="4:13" s="3" customFormat="1">
      <c r="D168" s="4"/>
      <c r="E168" s="4"/>
      <c r="F168" s="4"/>
      <c r="M168" s="9"/>
    </row>
    <row r="169" spans="4:13" s="3" customFormat="1">
      <c r="D169" s="4"/>
      <c r="E169" s="4"/>
      <c r="F169" s="4"/>
      <c r="M169" s="9"/>
    </row>
    <row r="170" spans="4:13" s="3" customFormat="1">
      <c r="D170" s="4"/>
      <c r="E170" s="4"/>
      <c r="F170" s="4"/>
      <c r="M170" s="9"/>
    </row>
    <row r="171" spans="4:13" s="3" customFormat="1">
      <c r="D171" s="4"/>
      <c r="E171" s="4"/>
      <c r="F171" s="4"/>
      <c r="M171" s="9"/>
    </row>
    <row r="172" spans="4:13" s="3" customFormat="1">
      <c r="D172" s="4"/>
      <c r="E172" s="4"/>
      <c r="F172" s="4"/>
      <c r="M172" s="9"/>
    </row>
    <row r="173" spans="4:13" s="3" customFormat="1">
      <c r="D173" s="4"/>
      <c r="E173" s="4"/>
      <c r="F173" s="4"/>
      <c r="M173" s="9"/>
    </row>
    <row r="174" spans="4:13" s="3" customFormat="1">
      <c r="D174" s="4"/>
      <c r="E174" s="4"/>
      <c r="F174" s="4"/>
      <c r="M174" s="9"/>
    </row>
    <row r="175" spans="4:13" s="3" customFormat="1">
      <c r="D175" s="4"/>
      <c r="E175" s="4"/>
      <c r="F175" s="4"/>
      <c r="M175" s="9"/>
    </row>
    <row r="176" spans="4:13" s="3" customFormat="1">
      <c r="D176" s="4"/>
      <c r="E176" s="4"/>
      <c r="F176" s="4"/>
      <c r="M176" s="9"/>
    </row>
    <row r="177" spans="4:13" s="3" customFormat="1">
      <c r="D177" s="4"/>
      <c r="E177" s="4"/>
      <c r="F177" s="4"/>
      <c r="M177" s="9"/>
    </row>
    <row r="178" spans="4:13" s="3" customFormat="1">
      <c r="D178" s="4"/>
      <c r="E178" s="4"/>
      <c r="F178" s="4"/>
      <c r="M178" s="9"/>
    </row>
    <row r="179" spans="4:13" s="3" customFormat="1">
      <c r="D179" s="4"/>
      <c r="E179" s="4"/>
      <c r="F179" s="4"/>
      <c r="M179" s="9"/>
    </row>
    <row r="180" spans="4:13" s="3" customFormat="1">
      <c r="D180" s="4"/>
      <c r="E180" s="4"/>
      <c r="F180" s="4"/>
      <c r="M180" s="9"/>
    </row>
    <row r="181" spans="4:13" s="3" customFormat="1">
      <c r="D181" s="4"/>
      <c r="E181" s="4"/>
      <c r="F181" s="4"/>
      <c r="M181" s="9"/>
    </row>
    <row r="182" spans="4:13" s="3" customFormat="1">
      <c r="D182" s="4"/>
      <c r="E182" s="4"/>
      <c r="F182" s="4"/>
      <c r="M182" s="9"/>
    </row>
    <row r="183" spans="4:13" s="3" customFormat="1">
      <c r="D183" s="4"/>
      <c r="E183" s="4"/>
      <c r="F183" s="4"/>
      <c r="M183" s="9"/>
    </row>
    <row r="184" spans="4:13" s="3" customFormat="1">
      <c r="D184" s="4"/>
      <c r="E184" s="4"/>
      <c r="F184" s="4"/>
      <c r="M184" s="9"/>
    </row>
    <row r="185" spans="4:13" s="3" customFormat="1">
      <c r="D185" s="4"/>
      <c r="E185" s="4"/>
      <c r="F185" s="4"/>
      <c r="M185" s="9"/>
    </row>
    <row r="186" spans="4:13" s="3" customFormat="1">
      <c r="D186" s="4"/>
      <c r="E186" s="4"/>
      <c r="F186" s="4"/>
      <c r="M186" s="9"/>
    </row>
    <row r="187" spans="4:13" s="3" customFormat="1">
      <c r="D187" s="4"/>
      <c r="E187" s="4"/>
      <c r="F187" s="4"/>
      <c r="M187" s="9"/>
    </row>
    <row r="188" spans="4:13" s="3" customFormat="1">
      <c r="D188" s="4"/>
      <c r="E188" s="4"/>
      <c r="F188" s="4"/>
      <c r="M188" s="9"/>
    </row>
    <row r="189" spans="4:13" s="3" customFormat="1">
      <c r="D189" s="4"/>
      <c r="E189" s="4"/>
      <c r="F189" s="4"/>
      <c r="M189" s="9"/>
    </row>
    <row r="190" spans="4:13" s="3" customFormat="1">
      <c r="D190" s="4"/>
      <c r="E190" s="4"/>
      <c r="F190" s="4"/>
      <c r="M190" s="9"/>
    </row>
    <row r="191" spans="4:13" s="3" customFormat="1">
      <c r="D191" s="4"/>
      <c r="E191" s="4"/>
      <c r="F191" s="4"/>
      <c r="M191" s="9"/>
    </row>
    <row r="192" spans="4:13" s="3" customFormat="1">
      <c r="D192" s="4"/>
      <c r="E192" s="4"/>
      <c r="F192" s="4"/>
      <c r="M192" s="9"/>
    </row>
    <row r="193" spans="4:14" s="3" customFormat="1">
      <c r="D193" s="4"/>
      <c r="E193" s="4"/>
      <c r="F193" s="4"/>
      <c r="M193" s="9"/>
    </row>
    <row r="194" spans="4:14" s="3" customFormat="1">
      <c r="D194" s="4"/>
      <c r="E194" s="4"/>
      <c r="F194" s="4"/>
      <c r="M194" s="9"/>
    </row>
    <row r="195" spans="4:14" s="3" customFormat="1">
      <c r="D195" s="4"/>
      <c r="E195" s="4"/>
      <c r="F195" s="4"/>
      <c r="M195" s="9"/>
    </row>
    <row r="196" spans="4:14" s="3" customFormat="1">
      <c r="D196" s="4"/>
      <c r="E196" s="4"/>
      <c r="F196" s="4"/>
      <c r="M196" s="9"/>
    </row>
    <row r="197" spans="4:14" s="3" customFormat="1">
      <c r="D197" s="4"/>
      <c r="E197" s="4"/>
      <c r="F197" s="4"/>
      <c r="M197" s="9"/>
    </row>
    <row r="198" spans="4:14" s="3" customFormat="1">
      <c r="D198" s="4"/>
      <c r="E198" s="4"/>
      <c r="F198" s="4"/>
      <c r="M198" s="9"/>
    </row>
    <row r="199" spans="4:14" s="3" customFormat="1">
      <c r="D199" s="4"/>
      <c r="E199" s="4"/>
      <c r="F199" s="4"/>
      <c r="M199" s="9"/>
    </row>
    <row r="200" spans="4:14" s="3" customFormat="1">
      <c r="D200" s="4"/>
      <c r="E200" s="4"/>
      <c r="F200" s="4"/>
      <c r="M200" s="9"/>
    </row>
    <row r="201" spans="4:14" s="3" customFormat="1">
      <c r="D201" s="4"/>
      <c r="E201" s="4"/>
      <c r="F201" s="4"/>
      <c r="M201" s="9"/>
    </row>
    <row r="202" spans="4:14" s="3" customFormat="1">
      <c r="D202" s="4"/>
      <c r="E202" s="4"/>
      <c r="F202" s="4"/>
      <c r="M202" s="14"/>
      <c r="N202" s="1"/>
    </row>
    <row r="203" spans="4:14" s="3" customFormat="1">
      <c r="D203" s="4"/>
      <c r="E203" s="4"/>
      <c r="F203" s="4"/>
      <c r="M203" s="14"/>
      <c r="N203" s="1"/>
    </row>
    <row r="204" spans="4:14" s="3" customFormat="1">
      <c r="D204" s="4"/>
      <c r="E204" s="4"/>
      <c r="F204" s="4"/>
      <c r="M204" s="14"/>
      <c r="N204" s="1"/>
    </row>
    <row r="205" spans="4:14" s="3" customFormat="1">
      <c r="D205" s="4"/>
      <c r="E205" s="4"/>
      <c r="F205" s="4"/>
      <c r="M205" s="14"/>
      <c r="N205" s="1"/>
    </row>
    <row r="206" spans="4:14" s="3" customFormat="1">
      <c r="D206" s="4"/>
      <c r="E206" s="4"/>
      <c r="F206" s="4"/>
      <c r="M206" s="14"/>
      <c r="N206" s="1"/>
    </row>
  </sheetData>
  <mergeCells count="7">
    <mergeCell ref="A83:A95"/>
    <mergeCell ref="A69:A81"/>
    <mergeCell ref="A30:A42"/>
    <mergeCell ref="A17:A29"/>
    <mergeCell ref="A4:A16"/>
    <mergeCell ref="A43:A55"/>
    <mergeCell ref="A56:A68"/>
  </mergeCells>
  <pageMargins left="0.25" right="0.25" top="0.75" bottom="0.75" header="0.3" footer="0.3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2021-03-11T12:50:34Z</dcterms:modified>
</cp:coreProperties>
</file>