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</sheets>
  <definedNames>
    <definedName name="_xlnm.Print_Area" localSheetId="0">PAGESAT!$A$1:$V$5</definedName>
    <definedName name="_xlnm.Print_Area" localSheetId="1">PRANIMET!$A$1:$M$43</definedName>
    <definedName name="_xlnm.Print_Titles" localSheetId="0">PAGESAT!$3:$5</definedName>
  </definedNames>
  <calcPr calcId="144525"/>
</workbook>
</file>

<file path=xl/calcChain.xml><?xml version="1.0" encoding="utf-8"?>
<calcChain xmlns="http://schemas.openxmlformats.org/spreadsheetml/2006/main">
  <c r="M33" i="12" l="1"/>
  <c r="F32" i="6" l="1"/>
  <c r="R35" i="6"/>
  <c r="F35" i="6"/>
  <c r="R33" i="6"/>
  <c r="G35" i="6" l="1"/>
  <c r="Q35" i="6" l="1"/>
  <c r="L34" i="6" l="1"/>
  <c r="D43" i="12" l="1"/>
  <c r="E43" i="12"/>
  <c r="F43" i="12"/>
  <c r="G43" i="12"/>
  <c r="I43" i="12"/>
  <c r="J43" i="12"/>
  <c r="K43" i="12"/>
  <c r="L43" i="12"/>
  <c r="B43" i="12"/>
  <c r="H33" i="12"/>
  <c r="H43" i="12" s="1"/>
  <c r="C42" i="12" l="1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B34" i="12"/>
  <c r="C33" i="12"/>
  <c r="B33" i="12"/>
  <c r="C32" i="12"/>
  <c r="B32" i="12"/>
  <c r="C31" i="12"/>
  <c r="B31" i="12"/>
  <c r="V44" i="6" l="1"/>
  <c r="U44" i="6"/>
  <c r="T44" i="6"/>
  <c r="S44" i="6"/>
  <c r="R44" i="6"/>
  <c r="O44" i="6"/>
  <c r="N44" i="6"/>
  <c r="M44" i="6"/>
  <c r="L44" i="6"/>
  <c r="H44" i="6"/>
  <c r="B44" i="6"/>
  <c r="Q43" i="6"/>
  <c r="K43" i="6"/>
  <c r="E43" i="6"/>
  <c r="B43" i="6"/>
  <c r="Q42" i="6"/>
  <c r="K42" i="6"/>
  <c r="E42" i="6"/>
  <c r="B42" i="6"/>
  <c r="Q41" i="6"/>
  <c r="K41" i="6"/>
  <c r="G44" i="6"/>
  <c r="E41" i="6"/>
  <c r="B41" i="6"/>
  <c r="Q40" i="6"/>
  <c r="K40" i="6"/>
  <c r="E40" i="6"/>
  <c r="D40" i="6" s="1"/>
  <c r="B40" i="6"/>
  <c r="Q39" i="6"/>
  <c r="K39" i="6"/>
  <c r="E39" i="6"/>
  <c r="D39" i="6" s="1"/>
  <c r="B39" i="6"/>
  <c r="Q38" i="6"/>
  <c r="K38" i="6"/>
  <c r="E38" i="6"/>
  <c r="B38" i="6"/>
  <c r="Q37" i="6"/>
  <c r="K37" i="6"/>
  <c r="E37" i="6"/>
  <c r="B37" i="6"/>
  <c r="Q36" i="6"/>
  <c r="P44" i="6"/>
  <c r="E36" i="6"/>
  <c r="B36" i="6"/>
  <c r="K35" i="6"/>
  <c r="E35" i="6"/>
  <c r="B35" i="6"/>
  <c r="Q34" i="6"/>
  <c r="K34" i="6"/>
  <c r="J44" i="6"/>
  <c r="E34" i="6"/>
  <c r="B34" i="6"/>
  <c r="Q33" i="6"/>
  <c r="K33" i="6"/>
  <c r="E33" i="6"/>
  <c r="B33" i="6"/>
  <c r="Q32" i="6"/>
  <c r="K32" i="6"/>
  <c r="B32" i="6"/>
  <c r="D35" i="6" l="1"/>
  <c r="C35" i="6"/>
  <c r="D37" i="6"/>
  <c r="C41" i="6"/>
  <c r="C39" i="6"/>
  <c r="D41" i="6"/>
  <c r="C37" i="6"/>
  <c r="C42" i="6"/>
  <c r="D42" i="6"/>
  <c r="C38" i="6"/>
  <c r="C40" i="6"/>
  <c r="D33" i="6"/>
  <c r="I44" i="6"/>
  <c r="D38" i="6"/>
  <c r="K36" i="6"/>
  <c r="D36" i="6" s="1"/>
  <c r="D43" i="6"/>
  <c r="Q44" i="6"/>
  <c r="D34" i="6"/>
  <c r="C34" i="6"/>
  <c r="C33" i="6"/>
  <c r="C43" i="6"/>
  <c r="G30" i="6"/>
  <c r="K44" i="6" l="1"/>
  <c r="C36" i="6"/>
  <c r="I30" i="6"/>
  <c r="M29" i="12" l="1"/>
  <c r="D30" i="12" l="1"/>
  <c r="E30" i="12"/>
  <c r="F30" i="12"/>
  <c r="G30" i="12"/>
  <c r="H30" i="12"/>
  <c r="I30" i="12"/>
  <c r="J30" i="12"/>
  <c r="K30" i="12"/>
  <c r="L30" i="12"/>
  <c r="M28" i="12" l="1"/>
  <c r="E29" i="6" l="1"/>
  <c r="G28" i="6" l="1"/>
  <c r="K28" i="6" l="1"/>
  <c r="M22" i="12"/>
  <c r="M19" i="12"/>
  <c r="M30" i="12" s="1"/>
  <c r="P23" i="6" l="1"/>
  <c r="K23" i="6" s="1"/>
  <c r="I23" i="6"/>
  <c r="I31" i="6" s="1"/>
  <c r="F21" i="6"/>
  <c r="F31" i="6" s="1"/>
  <c r="J21" i="6"/>
  <c r="V31" i="6"/>
  <c r="U31" i="6"/>
  <c r="T31" i="6"/>
  <c r="O31" i="6"/>
  <c r="N31" i="6"/>
  <c r="H31" i="6"/>
  <c r="B31" i="6"/>
  <c r="R31" i="6"/>
  <c r="Q30" i="6"/>
  <c r="K30" i="6"/>
  <c r="E30" i="6"/>
  <c r="B30" i="6"/>
  <c r="Q29" i="6"/>
  <c r="K29" i="6"/>
  <c r="B29" i="6"/>
  <c r="Q28" i="6"/>
  <c r="L31" i="6"/>
  <c r="E28" i="6"/>
  <c r="B28" i="6"/>
  <c r="Q27" i="6"/>
  <c r="K27" i="6"/>
  <c r="E27" i="6"/>
  <c r="B27" i="6"/>
  <c r="Q26" i="6"/>
  <c r="K26" i="6"/>
  <c r="E26" i="6"/>
  <c r="B26" i="6"/>
  <c r="S31" i="6"/>
  <c r="K25" i="6"/>
  <c r="G31" i="6"/>
  <c r="B25" i="6"/>
  <c r="Q24" i="6"/>
  <c r="K24" i="6"/>
  <c r="E24" i="6"/>
  <c r="B24" i="6"/>
  <c r="Q23" i="6"/>
  <c r="E23" i="6"/>
  <c r="B23" i="6"/>
  <c r="Q22" i="6"/>
  <c r="K22" i="6"/>
  <c r="B22" i="6"/>
  <c r="Q21" i="6"/>
  <c r="K21" i="6"/>
  <c r="B21" i="6"/>
  <c r="Q20" i="6"/>
  <c r="K20" i="6"/>
  <c r="E20" i="6"/>
  <c r="B20" i="6"/>
  <c r="Q19" i="6"/>
  <c r="K19" i="6"/>
  <c r="E19" i="6"/>
  <c r="B19" i="6"/>
  <c r="C19" i="12"/>
  <c r="C18" i="12"/>
  <c r="B18" i="12"/>
  <c r="P31" i="6" l="1"/>
  <c r="C27" i="6"/>
  <c r="E21" i="6"/>
  <c r="D21" i="6" s="1"/>
  <c r="J31" i="6"/>
  <c r="C19" i="6"/>
  <c r="D23" i="6"/>
  <c r="C24" i="6"/>
  <c r="D19" i="6"/>
  <c r="C23" i="6"/>
  <c r="C29" i="6"/>
  <c r="C20" i="6"/>
  <c r="D30" i="6"/>
  <c r="C30" i="6"/>
  <c r="K31" i="6"/>
  <c r="C28" i="6"/>
  <c r="C26" i="6"/>
  <c r="D26" i="6"/>
  <c r="E22" i="6"/>
  <c r="D24" i="6"/>
  <c r="D27" i="6"/>
  <c r="D20" i="6"/>
  <c r="E25" i="6"/>
  <c r="Q25" i="6"/>
  <c r="Q31" i="6" s="1"/>
  <c r="D28" i="6"/>
  <c r="D29" i="6"/>
  <c r="M31" i="6"/>
  <c r="E31" i="6" l="1"/>
  <c r="C31" i="6" s="1"/>
  <c r="C21" i="6"/>
  <c r="C25" i="6"/>
  <c r="D25" i="6"/>
  <c r="C22" i="6"/>
  <c r="D22" i="6"/>
  <c r="D31" i="6" l="1"/>
  <c r="B30" i="12" l="1"/>
  <c r="B29" i="12"/>
  <c r="B28" i="12"/>
  <c r="B27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B19" i="12"/>
  <c r="H16" i="12"/>
  <c r="H15" i="12"/>
  <c r="H14" i="12"/>
  <c r="G17" i="6"/>
  <c r="F17" i="6"/>
  <c r="E17" i="6" s="1"/>
  <c r="R17" i="6"/>
  <c r="I12" i="6"/>
  <c r="I14" i="6"/>
  <c r="Q16" i="6"/>
  <c r="E16" i="6"/>
  <c r="M15" i="6"/>
  <c r="L15" i="6"/>
  <c r="E15" i="6"/>
  <c r="H13" i="12"/>
  <c r="E14" i="6" l="1"/>
  <c r="M13" i="6"/>
  <c r="K13" i="6" s="1"/>
  <c r="S13" i="6"/>
  <c r="G13" i="6"/>
  <c r="E13" i="6" s="1"/>
  <c r="H10" i="12"/>
  <c r="S12" i="6"/>
  <c r="G12" i="6"/>
  <c r="E12" i="6"/>
  <c r="E11" i="6"/>
  <c r="K11" i="6"/>
  <c r="E10" i="6"/>
  <c r="H7" i="12"/>
  <c r="H6" i="12"/>
  <c r="Q9" i="6"/>
  <c r="F9" i="6"/>
  <c r="E9" i="6" s="1"/>
  <c r="E8" i="6"/>
  <c r="Q8" i="6"/>
  <c r="K12" i="6"/>
  <c r="E7" i="6"/>
  <c r="H5" i="12"/>
  <c r="F6" i="12" l="1"/>
  <c r="Q7" i="6"/>
  <c r="J5" i="12"/>
  <c r="K6" i="6" l="1"/>
  <c r="E6" i="6"/>
  <c r="V18" i="6"/>
  <c r="U18" i="6"/>
  <c r="T18" i="6"/>
  <c r="S18" i="6"/>
  <c r="R18" i="6"/>
  <c r="O18" i="6"/>
  <c r="N18" i="6"/>
  <c r="M18" i="6"/>
  <c r="J18" i="6"/>
  <c r="F18" i="6"/>
  <c r="B18" i="6"/>
  <c r="Q17" i="6"/>
  <c r="K17" i="6"/>
  <c r="B17" i="6"/>
  <c r="P18" i="6"/>
  <c r="B16" i="6"/>
  <c r="Q15" i="6"/>
  <c r="K15" i="6"/>
  <c r="B15" i="6"/>
  <c r="Q14" i="6"/>
  <c r="K14" i="6"/>
  <c r="B14" i="6"/>
  <c r="Q13" i="6"/>
  <c r="D13" i="6" s="1"/>
  <c r="B13" i="6"/>
  <c r="Q12" i="6"/>
  <c r="D12" i="6" s="1"/>
  <c r="I18" i="6"/>
  <c r="B12" i="6"/>
  <c r="Q11" i="6"/>
  <c r="B11" i="6"/>
  <c r="Q10" i="6"/>
  <c r="K10" i="6"/>
  <c r="B10" i="6"/>
  <c r="K9" i="6"/>
  <c r="D9" i="6" s="1"/>
  <c r="H18" i="6"/>
  <c r="B9" i="6"/>
  <c r="K8" i="6"/>
  <c r="B8" i="6"/>
  <c r="L18" i="6"/>
  <c r="K7" i="6"/>
  <c r="G18" i="6"/>
  <c r="B7" i="6"/>
  <c r="Q6" i="6"/>
  <c r="B6" i="6"/>
  <c r="K17" i="12"/>
  <c r="I17" i="12"/>
  <c r="G17" i="12"/>
  <c r="E17" i="12"/>
  <c r="D17" i="12"/>
  <c r="B17" i="12"/>
  <c r="C16" i="12"/>
  <c r="B16" i="12"/>
  <c r="F17" i="12"/>
  <c r="B15" i="12"/>
  <c r="B14" i="12"/>
  <c r="C13" i="12"/>
  <c r="B13" i="12"/>
  <c r="C12" i="12"/>
  <c r="B12" i="12"/>
  <c r="C11" i="12"/>
  <c r="B11" i="12"/>
  <c r="B10" i="12"/>
  <c r="C9" i="12"/>
  <c r="B9" i="12"/>
  <c r="C8" i="12"/>
  <c r="B8" i="12"/>
  <c r="C7" i="12"/>
  <c r="B7" i="12"/>
  <c r="C6" i="12"/>
  <c r="B6" i="12"/>
  <c r="J17" i="12"/>
  <c r="C5" i="12"/>
  <c r="B5" i="12"/>
  <c r="D15" i="6" l="1"/>
  <c r="D14" i="6"/>
  <c r="D11" i="6"/>
  <c r="D17" i="6"/>
  <c r="C14" i="6"/>
  <c r="C15" i="6"/>
  <c r="D10" i="6"/>
  <c r="D8" i="6"/>
  <c r="C8" i="6"/>
  <c r="D6" i="6"/>
  <c r="C10" i="6"/>
  <c r="C11" i="6"/>
  <c r="C12" i="6"/>
  <c r="C17" i="6"/>
  <c r="Q18" i="6"/>
  <c r="C9" i="6"/>
  <c r="C13" i="6"/>
  <c r="C6" i="6"/>
  <c r="K16" i="6"/>
  <c r="H17" i="12"/>
  <c r="K18" i="6" l="1"/>
  <c r="D16" i="6"/>
  <c r="C16" i="6"/>
  <c r="C7" i="6"/>
  <c r="D7" i="6"/>
  <c r="E18" i="6"/>
  <c r="C18" i="6" l="1"/>
  <c r="D18" i="6"/>
  <c r="B3" i="12" l="1"/>
  <c r="C3" i="12"/>
  <c r="D3" i="12"/>
  <c r="A3" i="12"/>
  <c r="A1" i="12"/>
  <c r="E5" i="6"/>
  <c r="F5" i="6"/>
  <c r="G5" i="6"/>
  <c r="H5" i="6"/>
  <c r="I5" i="6"/>
  <c r="J5" i="6"/>
  <c r="D5" i="6"/>
  <c r="C5" i="6"/>
  <c r="A1" i="6" l="1"/>
  <c r="C10" i="12" l="1"/>
  <c r="C14" i="12"/>
  <c r="M17" i="12" l="1"/>
  <c r="C17" i="12" s="1"/>
  <c r="C15" i="12"/>
  <c r="C26" i="12" l="1"/>
  <c r="C27" i="12" l="1"/>
  <c r="C28" i="12"/>
  <c r="C29" i="12"/>
  <c r="C30" i="12" l="1"/>
  <c r="F44" i="6"/>
  <c r="E32" i="6"/>
  <c r="E44" i="6" s="1"/>
  <c r="C44" i="6" s="1"/>
  <c r="C32" i="6" l="1"/>
  <c r="D32" i="6"/>
  <c r="D44" i="6" s="1"/>
  <c r="M43" i="12"/>
  <c r="C34" i="12"/>
  <c r="C43" i="12" s="1"/>
</calcChain>
</file>

<file path=xl/comments1.xml><?xml version="1.0" encoding="utf-8"?>
<comments xmlns="http://schemas.openxmlformats.org/spreadsheetml/2006/main">
  <authors>
    <author>Hajrije Haxhijaj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645,00 jane gjoba nga gjykata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4,240.00euro janë gjoba nga gjykata ,  gjoba ne trafik 65,954.5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1545.00gjoba nga gjykata , 86,233.00 gjoba ne trafik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3835
gjoba ne trafik 63544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KTHIM I DONACIONIT TE HELVETAS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2021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Sawe the Children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9,525.00euro janë gjoba nga gjykata , 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17580
gjoba ne trafik 258531.5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KTHIM I DONACIONIT TE HELVETAS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 236,671.80 dhe gjobat nga gjykata 16400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Sawe the Children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9,525.00euro janë gjoba nga gjykata , 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17580
gjoba ne trafik 258531.5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<sst xmlns="http://schemas.openxmlformats.org/spreadsheetml/2006/main" count="953" uniqueCount="880">
  <si>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</si>
  <si>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</si>
  <si>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</si>
  <si>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</si>
  <si>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</si>
  <si>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</si>
  <si>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</si>
  <si>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</si>
  <si>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</si>
  <si>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</si>
  <si>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</si>
  <si>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</si>
  <si>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</si>
  <si>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</si>
  <si>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</si>
  <si>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</si>
  <si>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</si>
  <si>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</si>
  <si>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</si>
  <si>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</si>
  <si>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</si>
  <si>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</si>
  <si>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</si>
  <si>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</si>
  <si>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</si>
  <si>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</si>
  <si>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</si>
  <si>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</si>
  <si>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</si>
  <si>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</si>
  <si>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</si>
  <si>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</si>
  <si>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</si>
  <si>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</si>
  <si>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</si>
  <si>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</si>
  <si>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</si>
  <si>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</si>
  <si>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</si>
  <si>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</si>
  <si>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</si>
  <si>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</si>
  <si>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</si>
  <si>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</si>
  <si>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</si>
  <si>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</si>
  <si>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</si>
  <si>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</si>
  <si>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</si>
  <si>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</si>
  <si>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</si>
  <si>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</si>
  <si>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</si>
  <si>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</si>
  <si>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</si>
  <si>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</si>
  <si>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</si>
  <si>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</si>
  <si>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</si>
  <si>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</si>
  <si>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</si>
  <si>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</si>
  <si>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</si>
  <si>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</si>
  <si>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</si>
  <si>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</si>
  <si>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</si>
  <si>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</si>
  <si>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</si>
  <si>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</si>
  <si>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</si>
  <si>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</si>
  <si>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</si>
  <si>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</si>
  <si>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</si>
  <si>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</si>
  <si>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</si>
  <si>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</si>
  <si>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</si>
  <si>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</si>
  <si>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</si>
  <si>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</si>
  <si>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</si>
  <si>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</si>
  <si>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</si>
  <si>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</si>
  <si>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</si>
  <si>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</si>
  <si>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</si>
  <si>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</si>
  <si>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</si>
  <si>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</si>
  <si>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</si>
  <si>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</si>
  <si>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</si>
  <si>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</si>
  <si>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</si>
  <si>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</si>
  <si>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</si>
  <si>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</si>
  <si>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</si>
  <si>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</si>
  <si>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</si>
  <si>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</si>
  <si>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</si>
  <si>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</si>
  <si>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</si>
  <si>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</si>
  <si>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</si>
  <si>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</si>
  <si>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</si>
  <si>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</si>
  <si>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</si>
  <si>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</si>
  <si>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</si>
  <si>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</si>
  <si>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</si>
  <si>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</si>
  <si>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</si>
  <si>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</si>
  <si>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</si>
  <si>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</si>
  <si>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</si>
  <si>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</si>
  <si>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</si>
  <si>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</si>
  <si>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</si>
  <si>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</si>
  <si>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</si>
  <si>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</si>
  <si>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</si>
  <si>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</si>
  <si>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</si>
  <si>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</si>
  <si>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</si>
  <si>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</si>
  <si>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</si>
  <si>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</si>
  <si>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</si>
  <si>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</si>
  <si>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</si>
  <si>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</si>
  <si>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</si>
  <si>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</si>
  <si>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</si>
  <si>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</si>
  <si>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</si>
  <si>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</si>
  <si>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</si>
  <si>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</si>
  <si>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</si>
  <si>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</si>
  <si>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</si>
  <si>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</si>
  <si>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</si>
  <si>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</si>
  <si>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</si>
  <si>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</si>
  <si>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</si>
  <si>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</si>
  <si>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</si>
  <si>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</si>
  <si>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</si>
  <si>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</si>
  <si>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</si>
  <si>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</si>
  <si>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</si>
  <si>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</si>
  <si>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</si>
  <si>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</si>
  <si>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</si>
  <si>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</si>
  <si>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</si>
  <si>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</si>
  <si>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</si>
  <si>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</si>
  <si>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</si>
  <si>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</si>
  <si>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</si>
  <si>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</si>
  <si>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</si>
  <si>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</si>
  <si>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</si>
  <si>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</si>
  <si>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</si>
  <si>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</si>
  <si>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</si>
  <si>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</si>
  <si>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</si>
  <si>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</si>
  <si>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</si>
  <si>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</si>
  <si>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</si>
  <si>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</si>
  <si>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</si>
  <si>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</si>
  <si>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</si>
  <si>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</si>
  <si>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</si>
  <si>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</si>
  <si>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</si>
  <si>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</si>
  <si>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</si>
  <si>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</si>
  <si>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</si>
  <si>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</si>
  <si>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</si>
  <si>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</si>
  <si>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</si>
  <si>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</si>
  <si>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</si>
  <si>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</si>
  <si>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</si>
  <si>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</si>
  <si>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</si>
  <si>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</si>
  <si>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</si>
  <si>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</si>
  <si>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</si>
  <si>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</si>
  <si>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</si>
  <si>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</si>
  <si>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</si>
  <si>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</si>
  <si>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</si>
  <si>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</si>
  <si>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</si>
  <si>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</si>
  <si>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</si>
  <si>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</si>
  <si>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</si>
  <si>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</si>
  <si>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</si>
  <si>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</si>
  <si>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</si>
  <si>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</si>
  <si>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</si>
  <si>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</si>
  <si>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</si>
  <si>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</si>
  <si>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</si>
  <si>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</si>
  <si>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</si>
  <si>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</si>
  <si>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</si>
  <si>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</si>
  <si>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</si>
  <si>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</si>
  <si>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</si>
  <si>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</si>
  <si>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</si>
  <si>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</si>
  <si>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</si>
  <si>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</si>
  <si>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</si>
  <si>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</si>
  <si>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</si>
  <si>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</si>
  <si>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</si>
  <si>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</si>
  <si>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</si>
  <si>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</si>
  <si>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</si>
  <si>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</si>
  <si>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</si>
  <si>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</si>
  <si>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</si>
  <si>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</si>
  <si>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</si>
  <si>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</si>
  <si>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</si>
  <si>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</si>
  <si>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</si>
  <si>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</si>
  <si>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</si>
  <si>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</si>
  <si>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</si>
  <si>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</si>
  <si>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</si>
  <si>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</si>
  <si>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</si>
  <si>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</si>
  <si>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</si>
  <si>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</si>
  <si>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</si>
  <si>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</si>
  <si>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</si>
  <si>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</si>
  <si>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</si>
  <si>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</si>
  <si>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</si>
  <si>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</si>
  <si>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</si>
  <si>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</si>
  <si>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</si>
  <si>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</si>
  <si>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</si>
  <si>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</si>
  <si>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</si>
  <si>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</si>
  <si>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</si>
  <si>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</si>
  <si>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</si>
  <si>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</si>
  <si>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</si>
  <si>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</si>
  <si>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</si>
  <si>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</si>
  <si>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</si>
  <si>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</si>
  <si>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</si>
  <si>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</si>
  <si>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</si>
  <si>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</si>
  <si>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</si>
  <si>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</si>
  <si>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</si>
  <si>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</si>
  <si>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</si>
  <si>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</si>
  <si>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</si>
  <si>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</si>
  <si>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</si>
  <si>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</si>
  <si>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</si>
  <si>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</si>
  <si>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</si>
  <si>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</si>
  <si>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</si>
  <si>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</si>
  <si>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</si>
  <si>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</si>
  <si>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</si>
  <si>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</si>
  <si>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</si>
  <si>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</si>
  <si>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</si>
  <si>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</si>
  <si>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</si>
  <si>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</si>
  <si>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</si>
  <si>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</si>
  <si>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</si>
  <si>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</si>
  <si>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</si>
  <si>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</si>
  <si>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</si>
  <si>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</si>
  <si>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</si>
  <si>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</si>
  <si>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</si>
  <si>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</si>
  <si>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</si>
  <si>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</si>
  <si>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</si>
  <si>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</si>
  <si>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</si>
  <si>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</si>
  <si>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</si>
  <si>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</si>
  <si>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</si>
  <si>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</si>
  <si>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</si>
  <si>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</si>
  <si>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</si>
  <si>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</si>
  <si>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</si>
  <si>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</si>
  <si>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</si>
  <si>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</si>
  <si>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</si>
  <si>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</si>
  <si>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</si>
  <si>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</si>
  <si>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</si>
  <si>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</si>
  <si>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</si>
  <si>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</si>
  <si>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</si>
  <si>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</si>
  <si>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</si>
  <si>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</si>
  <si>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</si>
  <si>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</si>
  <si>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</si>
  <si>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</si>
  <si>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</si>
  <si>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</si>
  <si>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</si>
  <si>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</si>
  <si>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</si>
  <si>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</si>
  <si>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</si>
  <si>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</si>
  <si>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</si>
  <si>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</si>
  <si>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</si>
  <si>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</si>
  <si>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</si>
  <si>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</si>
  <si>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</si>
  <si>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</si>
  <si>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</si>
  <si>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</si>
  <si>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</si>
  <si>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</si>
  <si>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</si>
  <si>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</si>
  <si>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</si>
  <si>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</si>
  <si>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</si>
  <si>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</si>
  <si>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</si>
  <si>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</si>
  <si>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</si>
  <si>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</si>
  <si>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</si>
  <si>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</si>
  <si>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</si>
  <si>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</si>
  <si>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</si>
  <si>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</si>
  <si>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</si>
  <si>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</si>
  <si>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</si>
  <si>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</si>
  <si>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</si>
  <si>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</si>
  <si>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</si>
  <si>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</si>
  <si>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</si>
  <si>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</si>
  <si>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</si>
  <si>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</si>
  <si>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</si>
  <si>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</si>
  <si>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</si>
  <si>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</si>
  <si>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</si>
  <si>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</si>
  <si>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</si>
  <si>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</si>
  <si>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</si>
  <si>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</si>
  <si>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</si>
  <si>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</si>
  <si>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</si>
  <si>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</si>
  <si>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</si>
  <si>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</si>
  <si>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</si>
  <si>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</si>
  <si>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</si>
  <si>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</si>
  <si>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</si>
  <si>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</si>
  <si>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</si>
  <si>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</si>
  <si>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</si>
  <si>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</si>
  <si>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</si>
  <si>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</si>
  <si>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</si>
  <si>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</si>
  <si>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</si>
  <si>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</si>
  <si>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</si>
  <si>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</si>
  <si>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</si>
  <si>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</si>
  <si>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</si>
  <si>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</si>
  <si>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</si>
  <si>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</si>
  <si>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</si>
  <si>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</si>
  <si>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</si>
  <si>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</si>
  <si>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</si>
  <si>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</si>
  <si>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</si>
  <si>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</si>
  <si>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</si>
  <si>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</si>
  <si>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</si>
  <si>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</si>
  <si>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</si>
  <si>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</si>
  <si>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</si>
  <si>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</si>
  <si>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</si>
  <si>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</si>
  <si>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</si>
  <si>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</si>
  <si>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</si>
  <si>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</si>
  <si>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</si>
  <si>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</si>
  <si>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</si>
  <si>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</si>
  <si>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</si>
  <si>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</si>
  <si>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</si>
  <si>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</si>
  <si>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</si>
  <si>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</si>
  <si>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</si>
  <si>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</si>
  <si>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</si>
  <si>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</si>
  <si>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</si>
  <si>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</si>
  <si>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</si>
  <si>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</si>
  <si>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</si>
  <si>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</si>
  <si>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</si>
  <si>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</si>
  <si>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</si>
  <si>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</si>
  <si>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</si>
  <si>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</si>
  <si>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</si>
  <si>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</si>
  <si>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</si>
  <si>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</si>
  <si>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</si>
  <si>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</si>
  <si>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</si>
  <si>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</si>
  <si>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</si>
  <si>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</si>
  <si>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</si>
  <si>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</si>
  <si>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</si>
  <si>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</si>
  <si>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</si>
  <si>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</si>
  <si>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</si>
  <si>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</si>
  <si>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</si>
  <si>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</si>
  <si>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</si>
  <si>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</si>
  <si>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</si>
  <si>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</si>
  <si>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</si>
  <si>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</si>
  <si>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</si>
  <si>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</si>
  <si>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</si>
  <si>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</si>
  <si>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</si>
  <si>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</si>
  <si>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</si>
  <si>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</si>
  <si>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</si>
  <si>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</si>
  <si>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</si>
  <si>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</si>
  <si>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</si>
  <si>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</si>
  <si>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</si>
  <si>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</si>
  <si>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</si>
  <si>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</si>
  <si>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</si>
  <si>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</si>
  <si>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</si>
  <si>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</si>
  <si>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</si>
  <si>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</si>
  <si>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</si>
  <si>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</si>
  <si>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</si>
  <si>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</si>
  <si>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</si>
  <si>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</si>
  <si>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</si>
  <si>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</si>
  <si>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</si>
  <si>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</si>
  <si>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</si>
  <si>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</si>
  <si>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</si>
  <si>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</si>
  <si>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</si>
  <si>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</si>
  <si>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</si>
  <si>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</si>
  <si>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</si>
  <si>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</si>
  <si>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</si>
  <si>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</si>
  <si>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</si>
  <si>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</si>
  <si>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</si>
  <si>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</si>
  <si>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</si>
  <si>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</si>
  <si>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</si>
  <si>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</si>
  <si>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</si>
  <si>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</si>
  <si>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</si>
  <si>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</si>
  <si>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</si>
  <si>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</si>
  <si>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</si>
  <si>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</si>
  <si>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</si>
  <si>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</si>
  <si>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</si>
  <si>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</si>
  <si>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</si>
  <si>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</si>
  <si>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</si>
  <si>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</si>
  <si>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</si>
  <si>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</si>
  <si>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</si>
  <si>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</si>
  <si>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</si>
  <si>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</si>
  <si>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</si>
  <si>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</si>
  <si>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</si>
  <si>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</si>
  <si>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</si>
  <si>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</si>
  <si>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</si>
  <si>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</si>
  <si>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</si>
  <si>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</si>
  <si>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</si>
  <si>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</si>
  <si>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</si>
  <si>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</si>
  <si>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</si>
  <si>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</si>
  <si>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</si>
  <si>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</si>
  <si>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</si>
  <si>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</si>
  <si>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</si>
  <si>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</si>
  <si>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</si>
  <si>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</si>
  <si>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</si>
  <si>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</si>
  <si>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</si>
  <si>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</si>
  <si>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</si>
  <si>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</si>
  <si>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</si>
  <si>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</si>
  <si>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</si>
  <si>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</si>
  <si>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</si>
  <si>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</si>
  <si>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</si>
  <si>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</si>
  <si>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</si>
  <si>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</si>
  <si>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</si>
  <si>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</si>
  <si>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</si>
  <si>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</si>
  <si>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</si>
  <si>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</si>
  <si>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</si>
  <si>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</si>
  <si>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</si>
  <si>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</si>
  <si>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</si>
  <si>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</si>
  <si>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</si>
  <si>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</si>
  <si>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</si>
  <si>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</si>
  <si>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</si>
  <si>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</si>
  <si>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</si>
  <si>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</si>
  <si>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</si>
  <si>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</si>
  <si>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</si>
  <si>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</si>
  <si>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</si>
  <si>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</si>
  <si>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</si>
  <si>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</si>
  <si>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</si>
  <si>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</si>
  <si>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</si>
  <si>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</si>
  <si>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</si>
  <si>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</si>
  <si>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</si>
  <si>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</si>
  <si>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</si>
  <si>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</si>
  <si>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</si>
  <si>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</si>
  <si>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</si>
  <si>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</si>
  <si>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</si>
  <si>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</si>
  <si>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</si>
  <si>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</si>
  <si>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</si>
  <si>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</si>
  <si>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</si>
  <si>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</si>
  <si>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</si>
  <si>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</si>
  <si>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</si>
  <si>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</si>
  <si>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</si>
  <si>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</si>
  <si>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</si>
  <si>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</si>
  <si>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</si>
  <si>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</si>
  <si>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</si>
  <si>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</si>
  <si>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</si>
  <si>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</si>
  <si>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</si>
  <si>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</si>
  <si>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</si>
  <si>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</si>
  <si>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</si>
  <si>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</si>
  <si>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</si>
  <si>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</si>
  <si>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</si>
  <si>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</si>
  <si>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</si>
  <si>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</si>
  <si>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</si>
  <si>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</si>
  <si>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</si>
  <si>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</si>
  <si>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</si>
  <si>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</si>
  <si>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</si>
  <si>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</si>
  <si>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</si>
  <si>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</si>
  <si>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</si>
  <si>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</si>
  <si>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</si>
  <si>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</si>
  <si>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</si>
  <si>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</si>
  <si>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</si>
  <si>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</si>
  <si>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</si>
  <si>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</si>
  <si>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</si>
  <si>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</si>
  <si>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</si>
  <si>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</si>
  <si>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</si>
  <si>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</si>
  <si>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</si>
  <si>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</si>
  <si>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</si>
  <si>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</si>
  <si>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</si>
  <si>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</si>
  <si>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</si>
  <si>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</si>
  <si>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</si>
  <si>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</si>
  <si>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</si>
  <si>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</si>
  <si>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</si>
  <si>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</si>
  <si>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</si>
  <si>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</si>
  <si>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</si>
  <si>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</si>
  <si>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</si>
  <si>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</si>
  <si>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</si>
  <si>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</si>
  <si>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</si>
  <si>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</si>
  <si>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</si>
  <si>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</si>
  <si>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</si>
  <si>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</si>
  <si>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</si>
  <si>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</si>
  <si>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</si>
  <si>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</si>
  <si>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</si>
  <si>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</si>
  <si>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</si>
  <si>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</si>
  <si>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</si>
  <si>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</si>
  <si>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</si>
  <si>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</si>
  <si>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</si>
  <si>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</si>
  <si>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</si>
  <si>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</si>
  <si>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</si>
  <si>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</si>
  <si>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</si>
  <si>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</si>
  <si>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</si>
  <si>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</si>
  <si>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</si>
  <si>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</si>
  <si>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</si>
  <si>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</si>
  <si>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</si>
  <si>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</si>
  <si>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</si>
  <si>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</si>
  <si>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</si>
  <si>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</si>
  <si>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</si>
  <si>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</si>
  <si>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</si>
  <si>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</si>
  <si>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</si>
  <si>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</si>
  <si>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</si>
  <si>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</si>
  <si>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</si>
  <si>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</si>
  <si>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</si>
  <si>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</si>
  <si>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</si>
  <si>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</si>
  <si>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</si>
  <si>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</si>
  <si>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</si>
  <si>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</si>
  <si>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</si>
  <si>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</si>
  <si>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</si>
  <si>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</si>
  <si>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</si>
  <si>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</si>
  <si>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</si>
  <si>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</si>
  <si>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</si>
  <si>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</si>
  <si>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</si>
  <si>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</si>
  <si>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</si>
  <si>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</si>
  <si>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</si>
  <si>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</si>
  <si>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</si>
  <si>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</si>
  <si>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</si>
  <si>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</si>
  <si>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</si>
  <si>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</si>
  <si>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</si>
  <si>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</si>
  <si>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</si>
  <si>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</si>
  <si>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</si>
  <si>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</si>
  <si>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</si>
  <si>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</si>
  <si>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</si>
  <si>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</si>
  <si>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</si>
  <si>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</si>
  <si>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</si>
  <si>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 xml:space="preserve">Participim nga donatoret  e jashtme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</si>
</sst>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.0000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  <font>
      <sz val="9"/>
      <color indexed="8"/>
      <name val="Arial"/>
      <family val="2"/>
    </font>
    <font>
      <sz val="9"/>
      <color theme="1"/>
      <name val="Verdana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theme="3" tint="-0.249977111117893"/>
      <name val="Times New Roman"/>
      <family val="1"/>
    </font>
    <font>
      <sz val="11"/>
      <color rgb="FF000000"/>
      <name val="Arial Narrow"/>
      <family val="2"/>
    </font>
    <font>
      <sz val="11"/>
      <color indexed="81"/>
      <name val="Tahoma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indexed="8"/>
      <name val="SansSerif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1" applyBorder="0"/>
  </cellStyleXfs>
  <cellXfs count="2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2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7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7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4" xfId="1" applyNumberFormat="1" applyFont="1" applyFill="1" applyBorder="1" applyAlignment="1" applyProtection="1">
      <alignment horizontal="center" wrapText="1"/>
      <protection hidden="1"/>
    </xf>
    <xf numFmtId="0" fontId="17" fillId="2" borderId="19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0" xfId="0" applyFont="1" applyFill="1" applyBorder="1" applyAlignment="1" applyProtection="1"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16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0" fontId="17" fillId="34" borderId="29" xfId="0" applyFont="1" applyFill="1" applyBorder="1" applyProtection="1">
      <protection hidden="1"/>
    </xf>
    <xf numFmtId="164" fontId="17" fillId="34" borderId="29" xfId="1" applyNumberFormat="1" applyFont="1" applyFill="1" applyBorder="1" applyProtection="1">
      <protection hidden="1"/>
    </xf>
    <xf numFmtId="164" fontId="17" fillId="34" borderId="29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2" xfId="0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21" fillId="0" borderId="10" xfId="1" applyNumberFormat="1" applyFont="1" applyBorder="1" applyAlignment="1">
      <alignment horizontal="right"/>
    </xf>
    <xf numFmtId="4" fontId="0" fillId="0" borderId="10" xfId="1" applyNumberFormat="1" applyFont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164" fontId="21" fillId="0" borderId="10" xfId="1" applyNumberFormat="1" applyFont="1" applyBorder="1" applyProtection="1">
      <protection hidden="1"/>
    </xf>
    <xf numFmtId="164" fontId="33" fillId="0" borderId="10" xfId="1" applyNumberFormat="1" applyFont="1" applyBorder="1" applyAlignment="1" applyProtection="1">
      <alignment horizontal="left"/>
      <protection hidden="1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3" xfId="1" applyNumberFormat="1" applyFont="1" applyBorder="1" applyProtection="1">
      <protection hidden="1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35" fillId="38" borderId="11" xfId="1" applyNumberFormat="1" applyFont="1" applyFill="1" applyBorder="1" applyAlignment="1">
      <alignment horizontal="right"/>
    </xf>
    <xf numFmtId="3" fontId="35" fillId="2" borderId="11" xfId="119" applyNumberFormat="1" applyFont="1" applyFill="1" applyBorder="1" applyAlignment="1">
      <alignment horizontal="right"/>
    </xf>
    <xf numFmtId="3" fontId="35" fillId="38" borderId="11" xfId="119" applyNumberFormat="1" applyFont="1" applyFill="1" applyBorder="1" applyAlignment="1">
      <alignment horizontal="right"/>
    </xf>
    <xf numFmtId="4" fontId="34" fillId="0" borderId="32" xfId="0" applyNumberFormat="1" applyFont="1" applyBorder="1" applyAlignment="1">
      <alignment wrapText="1"/>
    </xf>
    <xf numFmtId="4" fontId="36" fillId="38" borderId="36" xfId="0" applyNumberFormat="1" applyFont="1" applyFill="1" applyBorder="1" applyAlignment="1" applyProtection="1">
      <alignment vertical="center" wrapText="1"/>
    </xf>
    <xf numFmtId="4" fontId="21" fillId="2" borderId="29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32" fillId="0" borderId="12" xfId="0" applyNumberFormat="1" applyFont="1" applyBorder="1"/>
    <xf numFmtId="4" fontId="0" fillId="0" borderId="37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4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21" fillId="0" borderId="10" xfId="0" applyFont="1" applyBorder="1"/>
    <xf numFmtId="0" fontId="21" fillId="2" borderId="0" xfId="0" applyFont="1" applyFill="1"/>
    <xf numFmtId="3" fontId="38" fillId="0" borderId="10" xfId="1" applyNumberFormat="1" applyFont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4" fontId="35" fillId="0" borderId="32" xfId="0" applyNumberFormat="1" applyFont="1" applyBorder="1" applyAlignment="1">
      <alignment wrapText="1"/>
    </xf>
    <xf numFmtId="3" fontId="35" fillId="0" borderId="10" xfId="1" applyNumberFormat="1" applyFont="1" applyBorder="1" applyAlignment="1">
      <alignment horizontal="right"/>
    </xf>
    <xf numFmtId="3" fontId="38" fillId="0" borderId="11" xfId="1" applyNumberFormat="1" applyFont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5" fillId="0" borderId="11" xfId="1" applyNumberFormat="1" applyFont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3" fontId="35" fillId="0" borderId="32" xfId="0" applyNumberFormat="1" applyFont="1" applyBorder="1" applyAlignment="1">
      <alignment wrapText="1"/>
    </xf>
    <xf numFmtId="3" fontId="35" fillId="0" borderId="10" xfId="0" applyNumberFormat="1" applyFont="1" applyBorder="1" applyAlignment="1">
      <alignment horizontal="right"/>
    </xf>
    <xf numFmtId="3" fontId="35" fillId="0" borderId="12" xfId="0" applyNumberFormat="1" applyFont="1" applyBorder="1"/>
    <xf numFmtId="4" fontId="39" fillId="0" borderId="12" xfId="139" applyNumberFormat="1" applyFont="1" applyBorder="1"/>
    <xf numFmtId="4" fontId="35" fillId="0" borderId="12" xfId="139" applyNumberFormat="1" applyFont="1" applyBorder="1" applyAlignment="1">
      <alignment wrapText="1"/>
    </xf>
    <xf numFmtId="4" fontId="35" fillId="0" borderId="12" xfId="0" applyNumberFormat="1" applyFont="1" applyBorder="1"/>
    <xf numFmtId="4" fontId="36" fillId="38" borderId="36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37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40" fillId="38" borderId="38" xfId="0" applyNumberFormat="1" applyFont="1" applyFill="1" applyBorder="1" applyAlignment="1" applyProtection="1">
      <alignment vertical="center" wrapText="1"/>
    </xf>
    <xf numFmtId="3" fontId="0" fillId="0" borderId="22" xfId="1" applyNumberFormat="1" applyFont="1" applyBorder="1" applyProtection="1">
      <protection hidden="1"/>
    </xf>
    <xf numFmtId="3" fontId="0" fillId="0" borderId="22" xfId="1" applyNumberFormat="1" applyFont="1" applyFill="1" applyBorder="1" applyProtection="1">
      <protection hidden="1"/>
    </xf>
    <xf numFmtId="3" fontId="21" fillId="0" borderId="22" xfId="1" applyNumberFormat="1" applyFont="1" applyFill="1" applyBorder="1" applyProtection="1">
      <protection hidden="1"/>
    </xf>
    <xf numFmtId="3" fontId="21" fillId="0" borderId="22" xfId="1" applyNumberFormat="1" applyFont="1" applyBorder="1" applyProtection="1">
      <protection hidden="1"/>
    </xf>
    <xf numFmtId="3" fontId="0" fillId="0" borderId="12" xfId="0" applyNumberFormat="1" applyFont="1" applyBorder="1" applyProtection="1">
      <protection hidden="1"/>
    </xf>
    <xf numFmtId="3" fontId="0" fillId="0" borderId="12" xfId="1" applyNumberFormat="1" applyFont="1" applyBorder="1" applyProtection="1">
      <protection hidden="1"/>
    </xf>
    <xf numFmtId="3" fontId="0" fillId="0" borderId="41" xfId="1" applyNumberFormat="1" applyFont="1" applyBorder="1" applyProtection="1">
      <protection hidden="1"/>
    </xf>
    <xf numFmtId="4" fontId="0" fillId="0" borderId="12" xfId="0" applyNumberFormat="1" applyBorder="1"/>
    <xf numFmtId="3" fontId="0" fillId="0" borderId="12" xfId="1" applyNumberFormat="1" applyFont="1" applyFill="1" applyBorder="1" applyProtection="1">
      <protection hidden="1"/>
    </xf>
    <xf numFmtId="164" fontId="0" fillId="0" borderId="41" xfId="1" applyNumberFormat="1" applyFont="1" applyBorder="1" applyProtection="1">
      <protection hidden="1"/>
    </xf>
    <xf numFmtId="3" fontId="21" fillId="0" borderId="12" xfId="1" applyNumberFormat="1" applyFont="1" applyFill="1" applyBorder="1" applyProtection="1">
      <protection hidden="1"/>
    </xf>
    <xf numFmtId="0" fontId="0" fillId="0" borderId="12" xfId="0" applyFont="1" applyBorder="1" applyAlignment="1" applyProtection="1">
      <protection hidden="1"/>
    </xf>
    <xf numFmtId="4" fontId="40" fillId="38" borderId="12" xfId="0" applyNumberFormat="1" applyFont="1" applyFill="1" applyBorder="1" applyAlignment="1" applyProtection="1">
      <alignment vertical="center" wrapText="1"/>
    </xf>
    <xf numFmtId="3" fontId="37" fillId="0" borderId="12" xfId="0" applyNumberFormat="1" applyFont="1" applyBorder="1"/>
    <xf numFmtId="3" fontId="0" fillId="0" borderId="25" xfId="1" applyNumberFormat="1" applyFont="1" applyBorder="1" applyProtection="1">
      <protection hidden="1"/>
    </xf>
    <xf numFmtId="164" fontId="0" fillId="0" borderId="40" xfId="1" applyNumberFormat="1" applyFont="1" applyBorder="1" applyProtection="1">
      <protection hidden="1"/>
    </xf>
    <xf numFmtId="4" fontId="38" fillId="0" borderId="10" xfId="1" applyNumberFormat="1" applyFont="1" applyBorder="1" applyAlignment="1">
      <alignment horizontal="right"/>
    </xf>
    <xf numFmtId="4" fontId="21" fillId="0" borderId="0" xfId="0" applyNumberFormat="1" applyFont="1"/>
    <xf numFmtId="4" fontId="41" fillId="38" borderId="42" xfId="0" applyNumberFormat="1" applyFont="1" applyFill="1" applyBorder="1" applyAlignment="1" applyProtection="1">
      <alignment vertical="center" wrapText="1"/>
    </xf>
    <xf numFmtId="0" fontId="21" fillId="0" borderId="10" xfId="0" applyFont="1" applyBorder="1" applyAlignment="1">
      <alignment horizontal="center" vertical="center"/>
    </xf>
    <xf numFmtId="4" fontId="0" fillId="0" borderId="0" xfId="0" applyNumberFormat="1" applyFont="1" applyProtection="1">
      <protection hidden="1"/>
    </xf>
    <xf numFmtId="4" fontId="35" fillId="0" borderId="0" xfId="0" applyNumberFormat="1" applyFont="1" applyBorder="1" applyAlignment="1">
      <alignment wrapText="1"/>
    </xf>
    <xf numFmtId="4" fontId="35" fillId="0" borderId="0" xfId="0" applyNumberFormat="1" applyFont="1" applyBorder="1"/>
    <xf numFmtId="3" fontId="35" fillId="0" borderId="12" xfId="139" applyNumberFormat="1" applyFont="1" applyBorder="1"/>
    <xf numFmtId="3" fontId="35" fillId="0" borderId="12" xfId="139" applyNumberFormat="1" applyFont="1" applyBorder="1" applyAlignment="1">
      <alignment wrapText="1"/>
    </xf>
    <xf numFmtId="3" fontId="0" fillId="0" borderId="12" xfId="0" applyNumberFormat="1" applyBorder="1"/>
    <xf numFmtId="3" fontId="35" fillId="0" borderId="0" xfId="0" applyNumberFormat="1" applyFont="1" applyBorder="1"/>
    <xf numFmtId="3" fontId="0" fillId="0" borderId="0" xfId="0" applyNumberFormat="1" applyFont="1" applyAlignment="1" applyProtection="1">
      <protection hidden="1"/>
    </xf>
    <xf numFmtId="3" fontId="21" fillId="0" borderId="10" xfId="1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protection hidden="1"/>
    </xf>
    <xf numFmtId="3" fontId="40" fillId="38" borderId="12" xfId="0" applyNumberFormat="1" applyFont="1" applyFill="1" applyBorder="1" applyAlignment="1" applyProtection="1">
      <alignment vertical="center" wrapText="1"/>
    </xf>
    <xf numFmtId="3" fontId="40" fillId="38" borderId="38" xfId="0" applyNumberFormat="1" applyFont="1" applyFill="1" applyBorder="1" applyAlignment="1" applyProtection="1">
      <alignment vertical="center" wrapText="1"/>
    </xf>
    <xf numFmtId="3" fontId="0" fillId="0" borderId="10" xfId="1" applyNumberFormat="1" applyFont="1" applyBorder="1" applyAlignment="1" applyProtection="1">
      <alignment horizontal="right"/>
      <protection hidden="1"/>
    </xf>
    <xf numFmtId="3" fontId="0" fillId="0" borderId="40" xfId="1" applyNumberFormat="1" applyFont="1" applyBorder="1" applyProtection="1">
      <protection hidden="1"/>
    </xf>
    <xf numFmtId="3" fontId="36" fillId="38" borderId="36" xfId="0" applyNumberFormat="1" applyFont="1" applyFill="1" applyBorder="1" applyAlignment="1" applyProtection="1">
      <alignment vertical="center" wrapText="1"/>
    </xf>
    <xf numFmtId="3" fontId="21" fillId="2" borderId="29" xfId="1" applyNumberFormat="1" applyFont="1" applyFill="1" applyBorder="1" applyAlignment="1" applyProtection="1">
      <protection hidden="1"/>
    </xf>
    <xf numFmtId="4" fontId="1" fillId="2" borderId="39" xfId="0" applyNumberFormat="1" applyFont="1" applyFill="1" applyBorder="1"/>
    <xf numFmtId="4" fontId="17" fillId="2" borderId="39" xfId="0" applyNumberFormat="1" applyFont="1" applyFill="1" applyBorder="1"/>
    <xf numFmtId="4" fontId="1" fillId="0" borderId="32" xfId="0" applyNumberFormat="1" applyFont="1" applyBorder="1"/>
    <xf numFmtId="43" fontId="42" fillId="0" borderId="12" xfId="1" applyNumberFormat="1" applyFont="1" applyFill="1" applyBorder="1" applyAlignment="1">
      <alignment horizontal="right" vertical="center" wrapText="1"/>
    </xf>
    <xf numFmtId="43" fontId="42" fillId="0" borderId="12" xfId="1" applyFont="1" applyFill="1" applyBorder="1" applyAlignment="1">
      <alignment horizontal="right" vertical="center" wrapText="1"/>
    </xf>
    <xf numFmtId="43" fontId="43" fillId="0" borderId="12" xfId="1" applyFont="1" applyFill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/>
    </xf>
    <xf numFmtId="3" fontId="21" fillId="0" borderId="12" xfId="0" applyNumberFormat="1" applyFont="1" applyBorder="1"/>
    <xf numFmtId="3" fontId="1" fillId="0" borderId="10" xfId="1" applyNumberFormat="1" applyFont="1" applyBorder="1"/>
    <xf numFmtId="165" fontId="35" fillId="2" borderId="34" xfId="1" applyNumberFormat="1" applyFont="1" applyFill="1" applyBorder="1" applyAlignment="1">
      <alignment horizontal="right"/>
    </xf>
    <xf numFmtId="165" fontId="35" fillId="2" borderId="35" xfId="0" applyNumberFormat="1" applyFont="1" applyFill="1" applyBorder="1" applyAlignment="1">
      <alignment horizontal="right"/>
    </xf>
    <xf numFmtId="4" fontId="1" fillId="0" borderId="12" xfId="0" applyNumberFormat="1" applyFont="1" applyBorder="1"/>
    <xf numFmtId="4" fontId="1" fillId="0" borderId="0" xfId="0" applyNumberFormat="1" applyFont="1" applyBorder="1"/>
    <xf numFmtId="3" fontId="44" fillId="2" borderId="13" xfId="0" applyNumberFormat="1" applyFont="1" applyFill="1" applyBorder="1" applyAlignment="1">
      <alignment horizontal="right"/>
    </xf>
    <xf numFmtId="3" fontId="1" fillId="0" borderId="12" xfId="0" applyNumberFormat="1" applyFont="1" applyBorder="1"/>
    <xf numFmtId="3" fontId="1" fillId="0" borderId="32" xfId="0" applyNumberFormat="1" applyFont="1" applyBorder="1"/>
    <xf numFmtId="3" fontId="1" fillId="2" borderId="32" xfId="0" applyNumberFormat="1" applyFont="1" applyFill="1" applyBorder="1"/>
    <xf numFmtId="3" fontId="1" fillId="2" borderId="0" xfId="0" applyNumberFormat="1" applyFont="1" applyFill="1" applyBorder="1"/>
    <xf numFmtId="3" fontId="1" fillId="2" borderId="39" xfId="0" applyNumberFormat="1" applyFont="1" applyFill="1" applyBorder="1"/>
    <xf numFmtId="3" fontId="42" fillId="0" borderId="12" xfId="1" applyNumberFormat="1" applyFont="1" applyFill="1" applyBorder="1" applyAlignment="1">
      <alignment horizontal="right" vertical="center" wrapText="1"/>
    </xf>
    <xf numFmtId="3" fontId="43" fillId="0" borderId="12" xfId="1" applyNumberFormat="1" applyFont="1" applyFill="1" applyBorder="1" applyAlignment="1">
      <alignment horizontal="right" vertical="center" wrapText="1"/>
    </xf>
    <xf numFmtId="4" fontId="1" fillId="2" borderId="32" xfId="0" applyNumberFormat="1" applyFont="1" applyFill="1" applyBorder="1"/>
    <xf numFmtId="4" fontId="0" fillId="2" borderId="32" xfId="0" applyNumberFormat="1" applyFont="1" applyFill="1" applyBorder="1"/>
    <xf numFmtId="4" fontId="46" fillId="2" borderId="12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/>
    <xf numFmtId="3" fontId="1" fillId="34" borderId="10" xfId="1" applyNumberFormat="1" applyFont="1" applyFill="1" applyBorder="1"/>
    <xf numFmtId="165" fontId="29" fillId="2" borderId="12" xfId="0" applyNumberFormat="1" applyFont="1" applyFill="1" applyBorder="1" applyAlignment="1">
      <alignment vertical="center" wrapText="1"/>
    </xf>
    <xf numFmtId="165" fontId="29" fillId="2" borderId="12" xfId="0" applyNumberFormat="1" applyFont="1" applyFill="1" applyBorder="1" applyAlignment="1">
      <alignment horizontal="right" vertical="center" wrapText="1"/>
    </xf>
    <xf numFmtId="165" fontId="47" fillId="39" borderId="12" xfId="0" applyNumberFormat="1" applyFont="1" applyFill="1" applyBorder="1" applyAlignment="1">
      <alignment vertical="center"/>
    </xf>
    <xf numFmtId="165" fontId="29" fillId="2" borderId="12" xfId="1" applyNumberFormat="1" applyFont="1" applyFill="1" applyBorder="1" applyAlignment="1">
      <alignment vertical="center"/>
    </xf>
    <xf numFmtId="165" fontId="47" fillId="2" borderId="12" xfId="0" applyNumberFormat="1" applyFont="1" applyFill="1" applyBorder="1" applyAlignment="1">
      <alignment vertical="center" wrapText="1"/>
    </xf>
    <xf numFmtId="165" fontId="29" fillId="2" borderId="12" xfId="0" applyNumberFormat="1" applyFont="1" applyFill="1" applyBorder="1" applyAlignment="1">
      <alignment vertical="center"/>
    </xf>
    <xf numFmtId="165" fontId="47" fillId="2" borderId="12" xfId="0" applyNumberFormat="1" applyFont="1" applyFill="1" applyBorder="1" applyAlignment="1">
      <alignment horizontal="right" vertical="center" wrapText="1"/>
    </xf>
    <xf numFmtId="165" fontId="46" fillId="2" borderId="13" xfId="0" applyNumberFormat="1" applyFont="1" applyFill="1" applyBorder="1" applyAlignment="1">
      <alignment vertical="center"/>
    </xf>
    <xf numFmtId="165" fontId="48" fillId="2" borderId="12" xfId="0" applyNumberFormat="1" applyFont="1" applyFill="1" applyBorder="1"/>
    <xf numFmtId="165" fontId="48" fillId="0" borderId="12" xfId="0" applyNumberFormat="1" applyFont="1" applyBorder="1"/>
    <xf numFmtId="164" fontId="17" fillId="34" borderId="46" xfId="1" applyNumberFormat="1" applyFont="1" applyFill="1" applyBorder="1" applyProtection="1">
      <protection hidden="1"/>
    </xf>
    <xf numFmtId="164" fontId="17" fillId="34" borderId="46" xfId="1" applyNumberFormat="1" applyFont="1" applyFill="1" applyBorder="1" applyAlignment="1" applyProtection="1">
      <alignment horizontal="center"/>
      <protection hidden="1"/>
    </xf>
    <xf numFmtId="3" fontId="0" fillId="0" borderId="33" xfId="1" applyNumberFormat="1" applyFont="1" applyBorder="1" applyProtection="1">
      <protection hidden="1"/>
    </xf>
    <xf numFmtId="3" fontId="21" fillId="2" borderId="33" xfId="1" applyNumberFormat="1" applyFont="1" applyFill="1" applyBorder="1" applyAlignment="1" applyProtection="1">
      <protection hidden="1"/>
    </xf>
    <xf numFmtId="4" fontId="0" fillId="0" borderId="33" xfId="0" applyNumberFormat="1" applyFont="1" applyFill="1" applyBorder="1" applyAlignment="1" applyProtection="1"/>
    <xf numFmtId="3" fontId="21" fillId="0" borderId="33" xfId="1" applyNumberFormat="1" applyFont="1" applyBorder="1" applyAlignment="1" applyProtection="1">
      <protection hidden="1"/>
    </xf>
    <xf numFmtId="3" fontId="0" fillId="0" borderId="33" xfId="0" applyNumberFormat="1" applyFont="1" applyBorder="1" applyAlignment="1" applyProtection="1">
      <protection hidden="1"/>
    </xf>
    <xf numFmtId="3" fontId="0" fillId="0" borderId="33" xfId="0" applyNumberFormat="1" applyFont="1" applyBorder="1" applyProtection="1">
      <protection hidden="1"/>
    </xf>
    <xf numFmtId="3" fontId="21" fillId="2" borderId="10" xfId="1" applyNumberFormat="1" applyFont="1" applyFill="1" applyBorder="1" applyAlignment="1" applyProtection="1">
      <protection hidden="1"/>
    </xf>
    <xf numFmtId="4" fontId="0" fillId="0" borderId="10" xfId="0" applyNumberFormat="1" applyFill="1" applyBorder="1" applyAlignment="1" applyProtection="1"/>
    <xf numFmtId="3" fontId="0" fillId="0" borderId="10" xfId="0" applyNumberFormat="1" applyBorder="1"/>
    <xf numFmtId="4" fontId="0" fillId="0" borderId="10" xfId="0" applyNumberFormat="1" applyBorder="1"/>
    <xf numFmtId="3" fontId="21" fillId="0" borderId="10" xfId="1" applyNumberFormat="1" applyFont="1" applyFill="1" applyBorder="1" applyProtection="1">
      <protection hidden="1"/>
    </xf>
    <xf numFmtId="3" fontId="0" fillId="0" borderId="10" xfId="0" applyNumberFormat="1" applyFont="1" applyBorder="1" applyAlignment="1" applyProtection="1">
      <protection hidden="1"/>
    </xf>
    <xf numFmtId="3" fontId="40" fillId="38" borderId="10" xfId="0" applyNumberFormat="1" applyFont="1" applyFill="1" applyBorder="1" applyAlignment="1" applyProtection="1">
      <alignment vertical="center" wrapText="1"/>
    </xf>
    <xf numFmtId="3" fontId="37" fillId="0" borderId="10" xfId="0" applyNumberFormat="1" applyFont="1" applyBorder="1"/>
    <xf numFmtId="3" fontId="0" fillId="0" borderId="10" xfId="0" applyNumberFormat="1" applyFont="1" applyBorder="1" applyAlignment="1" applyProtection="1">
      <alignment horizontal="right"/>
      <protection hidden="1"/>
    </xf>
    <xf numFmtId="4" fontId="21" fillId="2" borderId="10" xfId="1" applyNumberFormat="1" applyFont="1" applyFill="1" applyBorder="1" applyAlignment="1" applyProtection="1">
      <protection hidden="1"/>
    </xf>
    <xf numFmtId="3" fontId="36" fillId="38" borderId="10" xfId="0" applyNumberFormat="1" applyFont="1" applyFill="1" applyBorder="1" applyAlignment="1" applyProtection="1">
      <alignment vertical="center" wrapText="1"/>
    </xf>
    <xf numFmtId="4" fontId="0" fillId="0" borderId="10" xfId="1" applyNumberFormat="1" applyFont="1" applyFill="1" applyBorder="1" applyProtection="1">
      <protection hidden="1"/>
    </xf>
    <xf numFmtId="4" fontId="41" fillId="38" borderId="10" xfId="0" applyNumberFormat="1" applyFont="1" applyFill="1" applyBorder="1" applyAlignment="1" applyProtection="1">
      <alignment vertical="center" wrapText="1"/>
    </xf>
    <xf numFmtId="4" fontId="36" fillId="38" borderId="10" xfId="0" applyNumberFormat="1" applyFont="1" applyFill="1" applyBorder="1" applyAlignment="1" applyProtection="1">
      <alignment horizontal="right" vertical="center" wrapText="1"/>
    </xf>
    <xf numFmtId="0" fontId="23" fillId="2" borderId="14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4" fontId="49" fillId="38" borderId="0" xfId="0" applyNumberFormat="1" applyFont="1" applyFill="1" applyBorder="1" applyAlignment="1" applyProtection="1">
      <alignment horizontal="left" vertical="top" wrapText="1"/>
    </xf>
    <xf numFmtId="166" fontId="0" fillId="0" borderId="0" xfId="0" applyNumberFormat="1" applyFont="1" applyProtection="1">
      <protection hidden="1"/>
    </xf>
    <xf numFmtId="164" fontId="50" fillId="34" borderId="46" xfId="1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Protection="1">
      <protection hidden="1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323850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4</xdr:col>
          <xdr:colOff>85725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53"/>
  <sheetViews>
    <sheetView zoomScaleNormal="100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M50" sqref="M50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16.42578125" style="71" customWidth="1"/>
    <col min="4" max="4" width="11.28515625" style="71" customWidth="1"/>
    <col min="5" max="5" width="11.85546875" style="91" customWidth="1"/>
    <col min="6" max="6" width="11.42578125" style="71" customWidth="1"/>
    <col min="7" max="7" width="20.42578125" style="71" customWidth="1"/>
    <col min="8" max="8" width="11.28515625" style="71" customWidth="1"/>
    <col min="9" max="9" width="11.7109375" style="71" customWidth="1"/>
    <col min="10" max="10" width="11.85546875" style="71" customWidth="1"/>
    <col min="11" max="11" width="12" style="71" customWidth="1"/>
    <col min="12" max="12" width="11" style="71" customWidth="1"/>
    <col min="13" max="13" width="11.28515625" style="71" customWidth="1"/>
    <col min="14" max="14" width="9.28515625" style="71" customWidth="1"/>
    <col min="15" max="15" width="9.5703125" style="71" customWidth="1"/>
    <col min="16" max="16" width="11.28515625" style="71" customWidth="1"/>
    <col min="17" max="17" width="12.7109375" style="71" customWidth="1"/>
    <col min="18" max="18" width="12" style="71" customWidth="1"/>
    <col min="19" max="19" width="12.85546875" style="71" customWidth="1"/>
    <col min="20" max="20" width="9.7109375" style="71" customWidth="1"/>
    <col min="21" max="21" width="10.42578125" style="71" customWidth="1"/>
    <col min="22" max="22" width="9.85546875" style="71" customWidth="1"/>
    <col min="23" max="16384" width="9.140625" style="71"/>
  </cols>
  <sheetData>
    <row r="1" spans="1:22" ht="30.75" customHeight="1">
      <c r="A1" s="68" t="str">
        <f>IF(L!$A$1=1,L!G2,IF(L!$A$1=2,L!G11,L!G21))</f>
        <v>Tabela 1: Pagesat</v>
      </c>
      <c r="B1" s="69"/>
      <c r="C1" s="70"/>
      <c r="D1" s="270" t="s">
        <v>609</v>
      </c>
      <c r="E1" s="72"/>
      <c r="F1" s="70"/>
      <c r="G1" s="70"/>
      <c r="H1" s="70"/>
      <c r="I1" s="70"/>
      <c r="J1" s="70"/>
      <c r="M1" s="92"/>
      <c r="N1"/>
      <c r="O1" s="92"/>
      <c r="P1" s="92"/>
      <c r="R1" s="92"/>
    </row>
    <row r="2" spans="1:22" ht="18.75" customHeight="1">
      <c r="A2" s="100" t="s">
        <v>876</v>
      </c>
      <c r="B2" s="73"/>
      <c r="C2" s="73"/>
      <c r="D2" s="271"/>
      <c r="E2" s="74"/>
      <c r="F2" s="74"/>
      <c r="G2" s="74"/>
      <c r="H2" s="74"/>
      <c r="I2" s="74"/>
      <c r="J2" s="74"/>
      <c r="O2" s="92"/>
    </row>
    <row r="3" spans="1:22" s="75" customFormat="1" ht="12.75" customHeight="1">
      <c r="A3" s="272"/>
      <c r="B3" s="272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72"/>
      <c r="B4" s="272"/>
      <c r="C4" s="76"/>
      <c r="D4" s="78"/>
      <c r="E4" s="81"/>
      <c r="F4" s="83"/>
      <c r="G4" s="82"/>
      <c r="H4" s="82"/>
      <c r="I4" s="82"/>
      <c r="J4" s="82"/>
      <c r="K4" s="262" t="s">
        <v>868</v>
      </c>
      <c r="L4" s="93"/>
      <c r="M4" s="82"/>
      <c r="N4" s="82"/>
      <c r="O4" s="82"/>
      <c r="P4" s="82"/>
      <c r="Q4" s="260" t="s">
        <v>869</v>
      </c>
      <c r="R4" s="93"/>
      <c r="S4" s="82"/>
      <c r="T4" s="82"/>
      <c r="U4" s="82"/>
      <c r="V4" s="82"/>
    </row>
    <row r="5" spans="1:22" s="85" customFormat="1" ht="57" customHeight="1">
      <c r="A5" s="273"/>
      <c r="B5" s="273"/>
      <c r="C5" s="84" t="str">
        <f>IF(L!$A$1=1,L!I4,IF(L!$A$1=2,L!I13,L!I23))</f>
        <v>Gjithsejt Pagesat</v>
      </c>
      <c r="D5" s="110" t="str">
        <f>IF(L!$A$1=1,L!J4,IF(L!$A$1=2,L!J13,L!J23))</f>
        <v>Shpenzimet</v>
      </c>
      <c r="E5" s="110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63"/>
      <c r="L5" s="84" t="s">
        <v>0</v>
      </c>
      <c r="M5" s="84" t="s">
        <v>32</v>
      </c>
      <c r="N5" s="84" t="s">
        <v>33</v>
      </c>
      <c r="O5" s="111" t="s">
        <v>21</v>
      </c>
      <c r="P5" s="84" t="s">
        <v>35</v>
      </c>
      <c r="Q5" s="261"/>
      <c r="R5" s="84" t="s">
        <v>0</v>
      </c>
      <c r="S5" s="84" t="s">
        <v>32</v>
      </c>
      <c r="T5" s="84" t="s">
        <v>33</v>
      </c>
      <c r="U5" s="111" t="s">
        <v>21</v>
      </c>
      <c r="V5" s="84" t="s">
        <v>35</v>
      </c>
    </row>
    <row r="6" spans="1:22">
      <c r="A6" s="267">
        <v>2020</v>
      </c>
      <c r="B6" s="86" t="str">
        <f>IF(L!$A$1=1,L!B192,IF(L!$A$1=2,L!C192,L!D192))</f>
        <v>2020 Janar</v>
      </c>
      <c r="C6" s="106">
        <f t="shared" ref="C6:C18" si="0">E6+K6+Q6</f>
        <v>1448647.75</v>
      </c>
      <c r="D6" s="106">
        <f t="shared" ref="D6:D16" si="1">+E6+K6+Q6</f>
        <v>1448647.75</v>
      </c>
      <c r="E6" s="125">
        <f t="shared" ref="E6:E17" si="2">+F6+G6+H6+I6+J6</f>
        <v>394209.41</v>
      </c>
      <c r="F6" s="126">
        <v>161438.29999999999</v>
      </c>
      <c r="G6" s="126">
        <v>81290.33</v>
      </c>
      <c r="H6" s="157">
        <v>37314.11</v>
      </c>
      <c r="I6" s="126"/>
      <c r="J6" s="75">
        <v>114166.67</v>
      </c>
      <c r="K6" s="114">
        <f t="shared" ref="K6" si="3">SUM(L6:P6)</f>
        <v>807684.63</v>
      </c>
      <c r="L6" s="115">
        <v>756133.99</v>
      </c>
      <c r="M6" s="161">
        <v>40937.1</v>
      </c>
      <c r="N6" s="165">
        <v>10613.54</v>
      </c>
      <c r="O6" s="166"/>
      <c r="P6" s="166"/>
      <c r="Q6" s="167">
        <f t="shared" ref="Q6:Q11" si="4">SUM(R6:V6)</f>
        <v>246753.71000000002</v>
      </c>
      <c r="R6" s="114">
        <v>211507.7</v>
      </c>
      <c r="S6" s="106">
        <v>26322.19</v>
      </c>
      <c r="T6" s="112">
        <v>8923.82</v>
      </c>
      <c r="U6" s="106"/>
      <c r="V6" s="106"/>
    </row>
    <row r="7" spans="1:22">
      <c r="A7" s="267"/>
      <c r="B7" s="86" t="str">
        <f>IF(L!$A$1=1,L!B193,IF(L!$A$1=2,L!C193,L!D193))</f>
        <v>2020 Shkurt</v>
      </c>
      <c r="C7" s="87">
        <f t="shared" si="0"/>
        <v>1624867.58</v>
      </c>
      <c r="D7" s="106">
        <f t="shared" si="1"/>
        <v>1624867.58</v>
      </c>
      <c r="E7" s="125">
        <f t="shared" si="2"/>
        <v>478575.37</v>
      </c>
      <c r="F7" s="134">
        <v>156896.98000000004</v>
      </c>
      <c r="G7" s="128">
        <v>122969.31</v>
      </c>
      <c r="H7" s="158">
        <v>37722.32</v>
      </c>
      <c r="I7" s="128">
        <v>20389.16</v>
      </c>
      <c r="J7" s="127">
        <v>140597.6</v>
      </c>
      <c r="K7" s="87">
        <f t="shared" ref="K7:K13" si="5">SUM(L7:P7)</f>
        <v>868303.54</v>
      </c>
      <c r="L7" s="114">
        <v>768849.65</v>
      </c>
      <c r="M7" s="162">
        <v>89170.52</v>
      </c>
      <c r="N7" s="168">
        <v>10283.370000000001</v>
      </c>
      <c r="O7" s="169"/>
      <c r="P7" s="166"/>
      <c r="Q7" s="170">
        <f t="shared" si="4"/>
        <v>277988.67</v>
      </c>
      <c r="R7" s="106">
        <v>213388.91999999998</v>
      </c>
      <c r="S7" s="113">
        <v>55284.62</v>
      </c>
      <c r="T7" s="134">
        <v>9315.130000000001</v>
      </c>
      <c r="U7" s="113"/>
      <c r="V7" s="106"/>
    </row>
    <row r="8" spans="1:22">
      <c r="A8" s="267"/>
      <c r="B8" s="86" t="str">
        <f>IF(L!$A$1=1,L!B194,IF(L!$A$1=2,L!C194,L!D194))</f>
        <v xml:space="preserve">2020 Mars </v>
      </c>
      <c r="C8" s="87">
        <f t="shared" si="0"/>
        <v>1947246.31</v>
      </c>
      <c r="D8" s="87">
        <f t="shared" si="1"/>
        <v>1947246.31</v>
      </c>
      <c r="E8" s="125">
        <f t="shared" si="2"/>
        <v>477127.99</v>
      </c>
      <c r="F8" s="126">
        <v>194451.41</v>
      </c>
      <c r="G8" s="134">
        <v>143526.82000000004</v>
      </c>
      <c r="H8" s="159">
        <v>38298.54</v>
      </c>
      <c r="I8" s="128">
        <v>7000</v>
      </c>
      <c r="J8" s="127">
        <v>93851.22</v>
      </c>
      <c r="K8" s="87">
        <f>SUM(L8:P8)</f>
        <v>1130493.3700000001</v>
      </c>
      <c r="L8" s="114">
        <v>769420.11</v>
      </c>
      <c r="M8" s="163">
        <v>92614.2</v>
      </c>
      <c r="N8" s="171">
        <v>11734.56</v>
      </c>
      <c r="O8" s="169"/>
      <c r="P8" s="172">
        <v>256724.5</v>
      </c>
      <c r="Q8" s="170">
        <f t="shared" si="4"/>
        <v>339624.95</v>
      </c>
      <c r="R8" s="106">
        <v>213177.79</v>
      </c>
      <c r="S8" s="134">
        <v>112235.17</v>
      </c>
      <c r="T8" s="113">
        <v>9217.49</v>
      </c>
      <c r="U8" s="113"/>
      <c r="V8" s="106">
        <v>4994.5</v>
      </c>
    </row>
    <row r="9" spans="1:22">
      <c r="A9" s="267"/>
      <c r="B9" s="86" t="str">
        <f>IF(L!$A$1=1,L!B195,IF(L!$A$1=2,L!C195,L!D195))</f>
        <v>2020 Prill</v>
      </c>
      <c r="C9" s="87">
        <f t="shared" si="0"/>
        <v>2252435.89</v>
      </c>
      <c r="D9" s="87">
        <f t="shared" si="1"/>
        <v>2252435.89</v>
      </c>
      <c r="E9" s="125">
        <f t="shared" si="2"/>
        <v>899826.17999999993</v>
      </c>
      <c r="F9" s="134">
        <f>177154.19+2205</f>
        <v>179359.19</v>
      </c>
      <c r="G9" s="126">
        <v>171456.58000000002</v>
      </c>
      <c r="H9" s="157">
        <v>44169.590000000011</v>
      </c>
      <c r="I9" s="126">
        <v>11151.78</v>
      </c>
      <c r="J9" s="127">
        <v>493689.03999999992</v>
      </c>
      <c r="K9" s="87">
        <f t="shared" si="5"/>
        <v>969519.07</v>
      </c>
      <c r="L9" s="114">
        <v>770125.21</v>
      </c>
      <c r="M9" s="164">
        <v>72518.069999999992</v>
      </c>
      <c r="N9" s="173">
        <v>10815.52</v>
      </c>
      <c r="O9" s="173"/>
      <c r="P9" s="173">
        <v>116060.27</v>
      </c>
      <c r="Q9" s="170">
        <f t="shared" si="4"/>
        <v>383090.64</v>
      </c>
      <c r="R9" s="160">
        <v>299028.32</v>
      </c>
      <c r="S9" s="106">
        <v>60150.9</v>
      </c>
      <c r="T9" s="134">
        <v>23911.42</v>
      </c>
      <c r="U9" s="106"/>
      <c r="V9" s="106"/>
    </row>
    <row r="10" spans="1:22">
      <c r="A10" s="267"/>
      <c r="B10" s="86" t="str">
        <f>IF(L!$A$1=1,L!B196,IF(L!$A$1=2,L!C196,L!D196))</f>
        <v>2020 Maj</v>
      </c>
      <c r="C10" s="87">
        <f t="shared" si="0"/>
        <v>2540040.5999999996</v>
      </c>
      <c r="D10" s="87">
        <f t="shared" si="1"/>
        <v>2540040.5999999996</v>
      </c>
      <c r="E10" s="125">
        <f t="shared" si="2"/>
        <v>1346027.42</v>
      </c>
      <c r="F10" s="129">
        <v>175103.74</v>
      </c>
      <c r="G10" s="129">
        <v>207652.41999999995</v>
      </c>
      <c r="H10" s="136">
        <v>29574.63</v>
      </c>
      <c r="I10" s="129">
        <v>46190.55</v>
      </c>
      <c r="J10" s="130">
        <v>887506.08</v>
      </c>
      <c r="K10" s="87">
        <f t="shared" si="5"/>
        <v>806229.21</v>
      </c>
      <c r="L10" s="106">
        <v>757937.57</v>
      </c>
      <c r="M10" s="161">
        <v>46372.3</v>
      </c>
      <c r="N10" s="174">
        <v>1919.34</v>
      </c>
      <c r="O10" s="166"/>
      <c r="P10" s="166"/>
      <c r="Q10" s="170">
        <f t="shared" si="4"/>
        <v>387783.97</v>
      </c>
      <c r="R10" s="106">
        <v>317720.86</v>
      </c>
      <c r="S10" s="134">
        <v>33808.600000000006</v>
      </c>
      <c r="T10" s="106">
        <v>2094.5100000000002</v>
      </c>
      <c r="U10" s="106"/>
      <c r="V10" s="134">
        <v>34160</v>
      </c>
    </row>
    <row r="11" spans="1:22">
      <c r="A11" s="267"/>
      <c r="B11" s="86" t="str">
        <f>IF(L!$A$1=1,L!B197,IF(L!$A$1=2,L!C197,L!D197))</f>
        <v>2020 Qershor</v>
      </c>
      <c r="C11" s="87">
        <f t="shared" si="0"/>
        <v>1911168.37</v>
      </c>
      <c r="D11" s="87">
        <f t="shared" si="1"/>
        <v>1911168.37</v>
      </c>
      <c r="E11" s="125">
        <f t="shared" si="2"/>
        <v>863213.05</v>
      </c>
      <c r="F11" s="129">
        <v>157435.51999999999</v>
      </c>
      <c r="G11" s="129">
        <v>139614.31</v>
      </c>
      <c r="H11" s="136">
        <v>28905.820000000003</v>
      </c>
      <c r="I11" s="129">
        <v>32350</v>
      </c>
      <c r="J11">
        <v>504907.4</v>
      </c>
      <c r="K11" s="87">
        <f t="shared" si="5"/>
        <v>798090.76</v>
      </c>
      <c r="L11" s="106">
        <v>769199.40999999992</v>
      </c>
      <c r="M11" s="161">
        <v>25336.42</v>
      </c>
      <c r="N11" s="175">
        <v>3554.93</v>
      </c>
      <c r="O11" s="175"/>
      <c r="P11" s="175"/>
      <c r="Q11" s="176">
        <f t="shared" si="4"/>
        <v>249864.56000000003</v>
      </c>
      <c r="R11" s="106">
        <v>220232.85</v>
      </c>
      <c r="S11" s="106">
        <v>29138.79</v>
      </c>
      <c r="T11" s="106">
        <v>492.92</v>
      </c>
      <c r="U11" s="106"/>
      <c r="V11" s="106"/>
    </row>
    <row r="12" spans="1:22">
      <c r="A12" s="267"/>
      <c r="B12" s="86" t="str">
        <f>IF(L!$A$1=1,L!B198,IF(L!$A$1=2,L!C198,L!D198))</f>
        <v>2020 Korrik</v>
      </c>
      <c r="C12" s="87">
        <f t="shared" si="0"/>
        <v>1765043.8599999999</v>
      </c>
      <c r="D12" s="87">
        <f t="shared" si="1"/>
        <v>1765043.8599999999</v>
      </c>
      <c r="E12" s="125">
        <f t="shared" si="2"/>
        <v>594469.43999999994</v>
      </c>
      <c r="F12" s="112">
        <v>153435.66999999998</v>
      </c>
      <c r="G12" s="136">
        <f>177124.04</f>
        <v>177124.04</v>
      </c>
      <c r="H12" s="136">
        <v>25664.06</v>
      </c>
      <c r="I12" s="112">
        <f>57600-950</f>
        <v>56650</v>
      </c>
      <c r="J12" s="137">
        <v>181595.67</v>
      </c>
      <c r="K12" s="87">
        <f t="shared" si="5"/>
        <v>876626.02</v>
      </c>
      <c r="L12" s="106">
        <v>751366.92</v>
      </c>
      <c r="M12" s="106">
        <v>98811.53</v>
      </c>
      <c r="N12" s="106">
        <v>74.569999999999993</v>
      </c>
      <c r="O12" s="106"/>
      <c r="P12" s="114">
        <v>26373</v>
      </c>
      <c r="Q12" s="87">
        <f>SUM(R12:V12)</f>
        <v>293948.40000000002</v>
      </c>
      <c r="R12" s="87">
        <v>214848.64000000001</v>
      </c>
      <c r="S12" s="87">
        <f>64058.39-5323</f>
        <v>58735.39</v>
      </c>
      <c r="T12" s="87">
        <v>6164.37</v>
      </c>
      <c r="U12" s="87">
        <v>14200</v>
      </c>
      <c r="V12" s="108"/>
    </row>
    <row r="13" spans="1:22">
      <c r="A13" s="267"/>
      <c r="B13" s="86" t="str">
        <f>IF(L!$A$1=1,L!B199,IF(L!$A$1=2,L!C199,L!D199))</f>
        <v>2020 Gusht</v>
      </c>
      <c r="C13" s="87">
        <f t="shared" si="0"/>
        <v>2499695.79</v>
      </c>
      <c r="D13" s="87">
        <f t="shared" si="1"/>
        <v>2499695.79</v>
      </c>
      <c r="E13" s="125">
        <f t="shared" si="2"/>
        <v>1112593.04</v>
      </c>
      <c r="F13" s="104">
        <v>167182.07</v>
      </c>
      <c r="G13" s="104">
        <f>81894.21-1642.5</f>
        <v>80251.710000000006</v>
      </c>
      <c r="H13" s="106">
        <v>22130.97</v>
      </c>
      <c r="I13" s="104">
        <v>20500</v>
      </c>
      <c r="J13" s="130">
        <v>822528.29</v>
      </c>
      <c r="K13" s="87">
        <f t="shared" si="5"/>
        <v>902501.09</v>
      </c>
      <c r="L13" s="105">
        <v>756817.67</v>
      </c>
      <c r="M13" s="105">
        <f>28646.1</f>
        <v>28646.1</v>
      </c>
      <c r="N13" s="107">
        <v>4748.12</v>
      </c>
      <c r="O13" s="105"/>
      <c r="P13" s="134">
        <v>112289.2</v>
      </c>
      <c r="Q13" s="87">
        <f>SUM(R13:V13)</f>
        <v>484601.66</v>
      </c>
      <c r="R13" s="87">
        <v>399493.63</v>
      </c>
      <c r="S13" s="134">
        <f>49860.91-499.29</f>
        <v>49361.62</v>
      </c>
      <c r="T13" s="87">
        <v>4016.42</v>
      </c>
      <c r="U13" s="87">
        <v>5450</v>
      </c>
      <c r="V13" s="87">
        <v>26279.99</v>
      </c>
    </row>
    <row r="14" spans="1:22">
      <c r="A14" s="267"/>
      <c r="B14" s="86" t="str">
        <f>IF(L!$A$1=1,L!B200,IF(L!$A$1=2,L!C200,L!D200))</f>
        <v>2020 Shtator</v>
      </c>
      <c r="C14" s="87">
        <f t="shared" si="0"/>
        <v>3156116.8699999996</v>
      </c>
      <c r="D14" s="87">
        <f t="shared" si="1"/>
        <v>3156116.8699999996</v>
      </c>
      <c r="E14" s="125">
        <f t="shared" si="2"/>
        <v>1629618.94</v>
      </c>
      <c r="F14" s="104">
        <v>158923.01</v>
      </c>
      <c r="G14" s="104">
        <v>210743.36000000002</v>
      </c>
      <c r="H14" s="106">
        <v>24407.010000000002</v>
      </c>
      <c r="I14" s="104">
        <f>88386.88-1000</f>
        <v>87386.880000000005</v>
      </c>
      <c r="J14" s="104">
        <v>1148158.68</v>
      </c>
      <c r="K14" s="87">
        <f t="shared" ref="K14:K17" si="6">SUM(L14:P14)</f>
        <v>1242789.07</v>
      </c>
      <c r="L14" s="104">
        <v>876368.52</v>
      </c>
      <c r="M14" s="104">
        <v>32000.27</v>
      </c>
      <c r="N14" s="106">
        <v>31009</v>
      </c>
      <c r="O14" s="104"/>
      <c r="P14" s="104">
        <v>303411.28000000003</v>
      </c>
      <c r="Q14" s="87">
        <f t="shared" ref="Q14:Q17" si="7">SUM(R14:V14)</f>
        <v>283708.86</v>
      </c>
      <c r="R14" s="87">
        <v>259170.18</v>
      </c>
      <c r="S14" s="87">
        <v>21263.25</v>
      </c>
      <c r="T14" s="87">
        <v>3175.43</v>
      </c>
      <c r="U14" s="87">
        <v>100</v>
      </c>
      <c r="V14" s="87"/>
    </row>
    <row r="15" spans="1:22">
      <c r="A15" s="268"/>
      <c r="B15" s="86" t="str">
        <f>IF(L!$A$1=1,L!B201,IF(L!$A$1=2,L!C201,L!D201))</f>
        <v>2020 Tetor</v>
      </c>
      <c r="C15" s="87">
        <f t="shared" si="0"/>
        <v>3670884.3800000004</v>
      </c>
      <c r="D15" s="87">
        <f t="shared" si="1"/>
        <v>3670884.3800000004</v>
      </c>
      <c r="E15" s="125">
        <f t="shared" si="2"/>
        <v>2286318.7300000004</v>
      </c>
      <c r="F15" s="134">
        <v>159390</v>
      </c>
      <c r="G15" s="104">
        <v>749987.83000000007</v>
      </c>
      <c r="H15" s="106">
        <v>35188.28</v>
      </c>
      <c r="I15" s="104">
        <v>64108</v>
      </c>
      <c r="J15" s="104">
        <v>1277644.6200000001</v>
      </c>
      <c r="K15" s="87">
        <f t="shared" si="6"/>
        <v>1087939.1300000001</v>
      </c>
      <c r="L15" s="87">
        <f>814846.4+1549.81</f>
        <v>816396.21000000008</v>
      </c>
      <c r="M15" s="124">
        <f>26253.02+85352.75</f>
        <v>111605.77</v>
      </c>
      <c r="N15" s="156">
        <v>12667.25</v>
      </c>
      <c r="O15" s="124"/>
      <c r="P15" s="124">
        <v>147269.9</v>
      </c>
      <c r="Q15" s="87">
        <f t="shared" si="7"/>
        <v>296626.52</v>
      </c>
      <c r="R15" s="87">
        <v>230806.5</v>
      </c>
      <c r="S15" s="155">
        <v>50406.33</v>
      </c>
      <c r="T15" s="87">
        <v>8683.69</v>
      </c>
      <c r="U15" s="87">
        <v>5100</v>
      </c>
      <c r="V15" s="87">
        <v>1630</v>
      </c>
    </row>
    <row r="16" spans="1:22">
      <c r="A16" s="268"/>
      <c r="B16" s="86" t="str">
        <f>IF(L!$A$1=1,L!B202,IF(L!$A$1=2,L!C202,L!D202))</f>
        <v xml:space="preserve">2020 Nëntor </v>
      </c>
      <c r="C16" s="87">
        <f t="shared" si="0"/>
        <v>3076088.62</v>
      </c>
      <c r="D16" s="87">
        <f t="shared" si="1"/>
        <v>3076088.62</v>
      </c>
      <c r="E16" s="125">
        <f t="shared" si="2"/>
        <v>1657234.88</v>
      </c>
      <c r="F16" s="131">
        <v>206082.51</v>
      </c>
      <c r="G16" s="132">
        <v>264612.21999999997</v>
      </c>
      <c r="H16" s="106">
        <v>30903.17</v>
      </c>
      <c r="I16" s="104">
        <v>26039.200000000001</v>
      </c>
      <c r="J16" s="104">
        <v>1129597.7799999998</v>
      </c>
      <c r="K16" s="87">
        <f t="shared" si="6"/>
        <v>929798.45</v>
      </c>
      <c r="L16" s="87">
        <v>755926.18</v>
      </c>
      <c r="M16" s="87">
        <v>56879.06</v>
      </c>
      <c r="N16" s="106">
        <v>6925.11</v>
      </c>
      <c r="O16" s="87"/>
      <c r="P16" s="179">
        <v>110068.1</v>
      </c>
      <c r="Q16" s="87">
        <f t="shared" si="7"/>
        <v>489055.29</v>
      </c>
      <c r="R16" s="134">
        <v>417301.56</v>
      </c>
      <c r="S16" s="87">
        <v>65693.899999999994</v>
      </c>
      <c r="T16" s="87">
        <v>6059.83</v>
      </c>
      <c r="U16" s="87"/>
      <c r="V16" s="154"/>
    </row>
    <row r="17" spans="1:22">
      <c r="A17" s="268"/>
      <c r="B17" s="86" t="str">
        <f>IF(L!$A$1=1,L!B203,IF(L!$A$1=2,L!C203,L!D203))</f>
        <v>2020 Dhjetor</v>
      </c>
      <c r="C17" s="87">
        <f t="shared" si="0"/>
        <v>3837691.7</v>
      </c>
      <c r="D17" s="87">
        <f t="shared" ref="D17" si="8">+E17+K17+Q17</f>
        <v>3837691.7</v>
      </c>
      <c r="E17" s="125">
        <f t="shared" si="2"/>
        <v>1945634.42</v>
      </c>
      <c r="F17" s="109">
        <f>144775.59+20667.68</f>
        <v>165443.26999999999</v>
      </c>
      <c r="G17" s="87">
        <f>128393.2+16063.04</f>
        <v>144456.24</v>
      </c>
      <c r="H17" s="106">
        <v>98386.26</v>
      </c>
      <c r="I17" s="87">
        <v>74879.740000000005</v>
      </c>
      <c r="J17" s="87">
        <v>1462468.91</v>
      </c>
      <c r="K17" s="87">
        <f t="shared" si="6"/>
        <v>1297468.3500000001</v>
      </c>
      <c r="L17" s="87">
        <v>771473.75</v>
      </c>
      <c r="M17" s="87">
        <v>325149.39</v>
      </c>
      <c r="N17" s="106">
        <v>60841.58</v>
      </c>
      <c r="O17" s="87"/>
      <c r="P17" s="87">
        <v>140003.63</v>
      </c>
      <c r="Q17" s="87">
        <f t="shared" si="7"/>
        <v>594588.92999999993</v>
      </c>
      <c r="R17" s="87">
        <f>329351+9585.06</f>
        <v>338936.06</v>
      </c>
      <c r="S17" s="87">
        <v>55982.35</v>
      </c>
      <c r="T17" s="87">
        <v>26564.49</v>
      </c>
      <c r="U17" s="87">
        <v>150</v>
      </c>
      <c r="V17" s="87">
        <v>172956.03</v>
      </c>
    </row>
    <row r="18" spans="1:22">
      <c r="A18" s="269"/>
      <c r="B18" s="88" t="str">
        <f>IF(L!$A$1=1,L!B204,IF(L!$A$1=2,L!C204,L!D204))</f>
        <v>Gjithsej 2020</v>
      </c>
      <c r="C18" s="89">
        <f t="shared" si="0"/>
        <v>29729927.719999999</v>
      </c>
      <c r="D18" s="90">
        <f>SUM(D6:D17)</f>
        <v>29729927.719999999</v>
      </c>
      <c r="E18" s="90">
        <f t="shared" ref="E18:V18" si="9">SUM(E6:E17)</f>
        <v>13684848.869999999</v>
      </c>
      <c r="F18" s="90">
        <f t="shared" si="9"/>
        <v>2035141.6700000002</v>
      </c>
      <c r="G18" s="90">
        <f t="shared" si="9"/>
        <v>2493685.17</v>
      </c>
      <c r="H18" s="90">
        <f t="shared" si="9"/>
        <v>452664.76000000007</v>
      </c>
      <c r="I18" s="90">
        <f t="shared" si="9"/>
        <v>446645.31</v>
      </c>
      <c r="J18" s="90">
        <f t="shared" si="9"/>
        <v>8256711.959999999</v>
      </c>
      <c r="K18" s="90">
        <f t="shared" si="9"/>
        <v>11717442.689999999</v>
      </c>
      <c r="L18" s="90">
        <f t="shared" si="9"/>
        <v>9320015.1899999995</v>
      </c>
      <c r="M18" s="90">
        <f t="shared" si="9"/>
        <v>1020040.7300000001</v>
      </c>
      <c r="N18" s="90">
        <f t="shared" si="9"/>
        <v>165186.89000000001</v>
      </c>
      <c r="O18" s="90">
        <f t="shared" si="9"/>
        <v>0</v>
      </c>
      <c r="P18" s="90">
        <f t="shared" si="9"/>
        <v>1212199.8799999999</v>
      </c>
      <c r="Q18" s="90">
        <f t="shared" si="9"/>
        <v>4327636.16</v>
      </c>
      <c r="R18" s="90">
        <f t="shared" si="9"/>
        <v>3335613.0100000002</v>
      </c>
      <c r="S18" s="90">
        <f t="shared" si="9"/>
        <v>618383.11</v>
      </c>
      <c r="T18" s="90">
        <f t="shared" si="9"/>
        <v>108619.52</v>
      </c>
      <c r="U18" s="90">
        <f t="shared" si="9"/>
        <v>25000</v>
      </c>
      <c r="V18" s="90">
        <f t="shared" si="9"/>
        <v>240020.52000000002</v>
      </c>
    </row>
    <row r="19" spans="1:22">
      <c r="A19" s="264">
        <v>2021</v>
      </c>
      <c r="B19" s="86" t="str">
        <f>IF(L!$A$1=1,L!B205,IF(L!$A$1=2,L!C205,L!D205))</f>
        <v>2021 Janar</v>
      </c>
      <c r="C19" s="106">
        <f t="shared" ref="C19:C31" si="10">E19+K19+Q19</f>
        <v>1560791.06</v>
      </c>
      <c r="D19" s="106">
        <f t="shared" ref="D19:D30" si="11">+E19+K19+Q19</f>
        <v>1560791.06</v>
      </c>
      <c r="E19" s="196">
        <f t="shared" ref="E19:E30" si="12">+F19+G19+H19+I19+J19</f>
        <v>157014.99000000005</v>
      </c>
      <c r="F19" s="157">
        <v>157014.99000000005</v>
      </c>
      <c r="G19" s="157"/>
      <c r="H19" s="157"/>
      <c r="I19" s="157"/>
      <c r="J19" s="188"/>
      <c r="K19" s="114">
        <f t="shared" ref="K19" si="13">SUM(L19:P19)</f>
        <v>1119202.47</v>
      </c>
      <c r="L19" s="115">
        <v>1119202.47</v>
      </c>
      <c r="M19" s="161"/>
      <c r="N19" s="165"/>
      <c r="O19" s="166"/>
      <c r="P19" s="166"/>
      <c r="Q19" s="167">
        <f t="shared" ref="Q19:Q24" si="14">SUM(R19:V19)</f>
        <v>284573.59999999998</v>
      </c>
      <c r="R19" s="114">
        <v>284573.59999999998</v>
      </c>
      <c r="S19" s="106"/>
      <c r="T19" s="112"/>
      <c r="U19" s="106"/>
      <c r="V19" s="106"/>
    </row>
    <row r="20" spans="1:22">
      <c r="A20" s="265"/>
      <c r="B20" s="86" t="str">
        <f>IF(L!$A$1=1,L!B206,IF(L!$A$1=2,L!C206,L!D206))</f>
        <v>2021 Shkurt</v>
      </c>
      <c r="C20" s="106">
        <f t="shared" si="10"/>
        <v>1405836.2</v>
      </c>
      <c r="D20" s="106">
        <f t="shared" si="11"/>
        <v>1405836.2</v>
      </c>
      <c r="E20" s="196">
        <f t="shared" si="12"/>
        <v>174874.68</v>
      </c>
      <c r="F20" s="158">
        <v>165145.57999999999</v>
      </c>
      <c r="G20" s="159">
        <v>9729.1</v>
      </c>
      <c r="H20" s="158"/>
      <c r="I20" s="159"/>
      <c r="J20" s="189"/>
      <c r="K20" s="106">
        <f t="shared" ref="K20" si="15">SUM(L20:P20)</f>
        <v>935024.09</v>
      </c>
      <c r="L20" s="114">
        <v>935024.09</v>
      </c>
      <c r="M20" s="162"/>
      <c r="N20" s="186"/>
      <c r="O20" s="169"/>
      <c r="P20" s="166"/>
      <c r="Q20" s="167">
        <f t="shared" si="14"/>
        <v>295937.43</v>
      </c>
      <c r="R20" s="106">
        <v>295937.43</v>
      </c>
      <c r="S20" s="113"/>
      <c r="T20" s="158"/>
      <c r="U20" s="113"/>
      <c r="V20" s="106"/>
    </row>
    <row r="21" spans="1:22">
      <c r="A21" s="265"/>
      <c r="B21" s="86" t="str">
        <f>IF(L!$A$1=1,L!B207,IF(L!$A$1=2,L!C207,L!D207))</f>
        <v xml:space="preserve">2021 Mars </v>
      </c>
      <c r="C21" s="106">
        <f t="shared" si="10"/>
        <v>2333572.7400000002</v>
      </c>
      <c r="D21" s="106">
        <f t="shared" si="11"/>
        <v>2333572.7400000002</v>
      </c>
      <c r="E21" s="196">
        <f t="shared" si="12"/>
        <v>832944.21000000008</v>
      </c>
      <c r="F21" s="157">
        <f>193334.36-30370+5921.99</f>
        <v>168886.34999999998</v>
      </c>
      <c r="G21" s="158">
        <v>351387.3600000001</v>
      </c>
      <c r="H21" s="159">
        <v>137819.13999999998</v>
      </c>
      <c r="I21" s="159">
        <v>31928.400000000001</v>
      </c>
      <c r="J21" s="189">
        <f>146622.96-4000+300</f>
        <v>142922.96</v>
      </c>
      <c r="K21" s="106">
        <f>SUM(L21:P21)</f>
        <v>1038809.5499999999</v>
      </c>
      <c r="L21" s="114">
        <v>797658</v>
      </c>
      <c r="M21" s="163">
        <v>205024.73</v>
      </c>
      <c r="N21" s="171">
        <v>36126.82</v>
      </c>
      <c r="O21" s="169"/>
      <c r="P21" s="190"/>
      <c r="Q21" s="167">
        <f t="shared" si="14"/>
        <v>461818.98</v>
      </c>
      <c r="R21" s="106">
        <v>290312</v>
      </c>
      <c r="S21" s="158">
        <v>140047.32</v>
      </c>
      <c r="T21" s="113">
        <v>31459.66</v>
      </c>
      <c r="U21" s="113"/>
      <c r="V21" s="106"/>
    </row>
    <row r="22" spans="1:22">
      <c r="A22" s="265"/>
      <c r="B22" s="86" t="str">
        <f>IF(L!$A$1=1,L!B208,IF(L!$A$1=2,L!C208,L!D208))</f>
        <v>2021 Prill</v>
      </c>
      <c r="C22" s="106">
        <f t="shared" si="10"/>
        <v>2253001.7400000002</v>
      </c>
      <c r="D22" s="106">
        <f t="shared" si="11"/>
        <v>2253001.7400000002</v>
      </c>
      <c r="E22" s="196">
        <f t="shared" si="12"/>
        <v>760545.12</v>
      </c>
      <c r="F22" s="158">
        <v>161545</v>
      </c>
      <c r="G22" s="157">
        <v>245251.47000000003</v>
      </c>
      <c r="H22" s="157"/>
      <c r="I22" s="157">
        <v>76279.199999999997</v>
      </c>
      <c r="J22" s="189">
        <v>277469.44999999995</v>
      </c>
      <c r="K22" s="106">
        <f t="shared" ref="K22:K30" si="16">SUM(L22:P22)</f>
        <v>1137917.5</v>
      </c>
      <c r="L22" s="114">
        <v>758766</v>
      </c>
      <c r="M22" s="164">
        <v>122646</v>
      </c>
      <c r="N22" s="191">
        <v>61166.929999999993</v>
      </c>
      <c r="O22" s="191"/>
      <c r="P22" s="191">
        <v>195338.57</v>
      </c>
      <c r="Q22" s="167">
        <f t="shared" si="14"/>
        <v>354539.12</v>
      </c>
      <c r="R22" s="192">
        <v>215308</v>
      </c>
      <c r="S22" s="106">
        <v>113263.8</v>
      </c>
      <c r="T22" s="158">
        <v>13137.09</v>
      </c>
      <c r="U22" s="106">
        <v>10000</v>
      </c>
      <c r="V22" s="106">
        <v>2830.23</v>
      </c>
    </row>
    <row r="23" spans="1:22">
      <c r="A23" s="265"/>
      <c r="B23" s="86" t="str">
        <f>IF(L!$A$1=1,L!B209,IF(L!$A$1=2,L!C209,L!D209))</f>
        <v>2021 Maj</v>
      </c>
      <c r="C23" s="106">
        <f t="shared" si="10"/>
        <v>2411574.5300000003</v>
      </c>
      <c r="D23" s="106">
        <f t="shared" si="11"/>
        <v>2411574.5300000003</v>
      </c>
      <c r="E23" s="196">
        <f t="shared" si="12"/>
        <v>1055750.9100000001</v>
      </c>
      <c r="F23" s="136">
        <v>158751.85</v>
      </c>
      <c r="G23" s="136">
        <v>196347.68000000002</v>
      </c>
      <c r="H23" s="136">
        <v>34752.9</v>
      </c>
      <c r="I23" s="136">
        <f>36335.98-2500</f>
        <v>33835.980000000003</v>
      </c>
      <c r="J23" s="193">
        <v>632062.5</v>
      </c>
      <c r="K23" s="106">
        <f t="shared" si="16"/>
        <v>970333.07000000007</v>
      </c>
      <c r="L23" s="106">
        <v>796599.38</v>
      </c>
      <c r="M23" s="161">
        <v>86132.430000000008</v>
      </c>
      <c r="N23" s="174">
        <v>9943.4699999999993</v>
      </c>
      <c r="O23" s="166"/>
      <c r="P23" s="166">
        <f>91857.79-14200</f>
        <v>77657.789999999994</v>
      </c>
      <c r="Q23" s="167">
        <f t="shared" si="14"/>
        <v>385490.55</v>
      </c>
      <c r="R23" s="106">
        <v>332331.65999999997</v>
      </c>
      <c r="S23" s="158">
        <v>41754.689999999995</v>
      </c>
      <c r="T23" s="106">
        <v>11504.2</v>
      </c>
      <c r="U23" s="106">
        <v>-100</v>
      </c>
      <c r="V23" s="158"/>
    </row>
    <row r="24" spans="1:22">
      <c r="A24" s="265"/>
      <c r="B24" s="86" t="str">
        <f>IF(L!$A$1=1,L!B210,IF(L!$A$1=2,L!C210,L!D210))</f>
        <v>2021 Qershor</v>
      </c>
      <c r="C24" s="106">
        <f t="shared" si="10"/>
        <v>2245280.6199999996</v>
      </c>
      <c r="D24" s="106">
        <f t="shared" si="11"/>
        <v>2245280.6199999996</v>
      </c>
      <c r="E24" s="196">
        <f t="shared" si="12"/>
        <v>1110502.19</v>
      </c>
      <c r="F24" s="136">
        <v>158805.66</v>
      </c>
      <c r="G24" s="136">
        <v>118407.84</v>
      </c>
      <c r="H24" s="136">
        <v>30045.18</v>
      </c>
      <c r="I24" s="136">
        <v>41000</v>
      </c>
      <c r="J24" s="158">
        <v>762243.51</v>
      </c>
      <c r="K24" s="106">
        <f t="shared" si="16"/>
        <v>865404.36</v>
      </c>
      <c r="L24" s="106">
        <v>757878</v>
      </c>
      <c r="M24" s="161">
        <v>66272.33</v>
      </c>
      <c r="N24" s="175">
        <v>12910.53</v>
      </c>
      <c r="O24" s="175"/>
      <c r="P24" s="175">
        <v>28343.5</v>
      </c>
      <c r="Q24" s="194">
        <f t="shared" si="14"/>
        <v>269374.07</v>
      </c>
      <c r="R24" s="106">
        <v>219525.61</v>
      </c>
      <c r="S24" s="106">
        <v>27029.040000000001</v>
      </c>
      <c r="T24" s="106">
        <v>2944.42</v>
      </c>
      <c r="U24" s="158">
        <v>9850</v>
      </c>
      <c r="V24" s="106">
        <v>10025</v>
      </c>
    </row>
    <row r="25" spans="1:22">
      <c r="A25" s="265"/>
      <c r="B25" s="86" t="str">
        <f>IF(L!$A$1=1,L!B211,IF(L!$A$1=2,L!C211,L!D211))</f>
        <v>2021 Korrik</v>
      </c>
      <c r="C25" s="106">
        <f t="shared" si="10"/>
        <v>2175790.3200000003</v>
      </c>
      <c r="D25" s="106">
        <f t="shared" si="11"/>
        <v>2175790.3200000003</v>
      </c>
      <c r="E25" s="196">
        <f t="shared" si="12"/>
        <v>1069313.22</v>
      </c>
      <c r="F25" s="112">
        <v>161350.52999999997</v>
      </c>
      <c r="G25" s="136">
        <v>131938.09</v>
      </c>
      <c r="H25" s="136">
        <v>28862.79</v>
      </c>
      <c r="I25" s="112">
        <v>38000</v>
      </c>
      <c r="J25" s="137">
        <v>709161.80999999994</v>
      </c>
      <c r="K25" s="106">
        <f t="shared" si="16"/>
        <v>835625.81</v>
      </c>
      <c r="L25" s="106">
        <v>752219.44000000006</v>
      </c>
      <c r="M25" s="106">
        <v>49697.87</v>
      </c>
      <c r="N25" s="106">
        <v>9076.51</v>
      </c>
      <c r="O25" s="106"/>
      <c r="P25" s="114">
        <v>24631.99</v>
      </c>
      <c r="Q25" s="106">
        <f>SUM(R25:V25)</f>
        <v>270851.29000000004</v>
      </c>
      <c r="R25" s="106">
        <v>213525.38</v>
      </c>
      <c r="S25" s="106">
        <v>46211.32</v>
      </c>
      <c r="T25" s="106">
        <v>4272.32</v>
      </c>
      <c r="U25" s="106">
        <v>100</v>
      </c>
      <c r="V25" s="114">
        <v>6742.27</v>
      </c>
    </row>
    <row r="26" spans="1:22">
      <c r="A26" s="265"/>
      <c r="B26" s="86" t="str">
        <f>IF(L!$A$1=1,L!B212,IF(L!$A$1=2,L!C212,L!D212))</f>
        <v>2021 Gusht</v>
      </c>
      <c r="C26" s="106">
        <f t="shared" si="10"/>
        <v>1838953.66</v>
      </c>
      <c r="D26" s="106">
        <f t="shared" si="11"/>
        <v>1838953.66</v>
      </c>
      <c r="E26" s="196">
        <f t="shared" si="12"/>
        <v>730402.52</v>
      </c>
      <c r="F26" s="106">
        <v>153873.66</v>
      </c>
      <c r="G26" s="106">
        <v>98044.68</v>
      </c>
      <c r="H26" s="106">
        <v>27314.55</v>
      </c>
      <c r="I26" s="106">
        <v>75239.199999999997</v>
      </c>
      <c r="J26" s="193">
        <v>375930.43</v>
      </c>
      <c r="K26" s="106">
        <f t="shared" si="16"/>
        <v>832399.61999999988</v>
      </c>
      <c r="L26" s="107">
        <v>766153.44</v>
      </c>
      <c r="M26" s="158">
        <v>43085.189999999995</v>
      </c>
      <c r="N26" s="112">
        <v>5489.989999999998</v>
      </c>
      <c r="O26" s="107"/>
      <c r="P26" s="158">
        <v>17671</v>
      </c>
      <c r="Q26" s="106">
        <f>SUM(R26:V26)</f>
        <v>276151.52</v>
      </c>
      <c r="R26" s="106">
        <v>235543.52</v>
      </c>
      <c r="S26" s="158">
        <v>27953.599999999999</v>
      </c>
      <c r="T26" s="106">
        <v>3939.4</v>
      </c>
      <c r="U26" s="106">
        <v>150</v>
      </c>
      <c r="V26" s="106">
        <v>8565</v>
      </c>
    </row>
    <row r="27" spans="1:22">
      <c r="A27" s="265"/>
      <c r="B27" s="86" t="str">
        <f>IF(L!$A$1=1,L!B213,IF(L!$A$1=2,L!C213,L!D213))</f>
        <v>2021 Shtator</v>
      </c>
      <c r="C27" s="106">
        <f t="shared" si="10"/>
        <v>2904063.12</v>
      </c>
      <c r="D27" s="106">
        <f t="shared" si="11"/>
        <v>2904063.12</v>
      </c>
      <c r="E27" s="196">
        <f t="shared" si="12"/>
        <v>1390471.2000000002</v>
      </c>
      <c r="F27" s="106">
        <v>150727.62</v>
      </c>
      <c r="G27" s="106">
        <v>183942.51</v>
      </c>
      <c r="H27" s="106">
        <v>35290.769999999997</v>
      </c>
      <c r="I27" s="106">
        <v>32450</v>
      </c>
      <c r="J27" s="106">
        <v>988060.3</v>
      </c>
      <c r="K27" s="106">
        <f t="shared" si="16"/>
        <v>1022329.5499999999</v>
      </c>
      <c r="L27" s="106">
        <v>768286.07</v>
      </c>
      <c r="M27" s="106">
        <v>68893.23</v>
      </c>
      <c r="N27" s="106">
        <v>3724.11</v>
      </c>
      <c r="O27" s="106"/>
      <c r="P27" s="106">
        <v>181426.14</v>
      </c>
      <c r="Q27" s="106">
        <f t="shared" ref="Q27:Q30" si="17">SUM(R27:V27)</f>
        <v>491262.37</v>
      </c>
      <c r="R27" s="106">
        <v>414254.8</v>
      </c>
      <c r="S27" s="106">
        <v>71936.75</v>
      </c>
      <c r="T27" s="106">
        <v>5070.82</v>
      </c>
      <c r="U27" s="106"/>
      <c r="V27" s="106"/>
    </row>
    <row r="28" spans="1:22">
      <c r="A28" s="265"/>
      <c r="B28" s="86" t="str">
        <f>IF(L!$A$1=1,L!B214,IF(L!$A$1=2,L!C214,L!D214))</f>
        <v>2021 Tetor</v>
      </c>
      <c r="C28" s="87">
        <f t="shared" si="10"/>
        <v>2817316.9299999997</v>
      </c>
      <c r="D28" s="87">
        <f t="shared" si="11"/>
        <v>2817316.9299999997</v>
      </c>
      <c r="E28" s="125">
        <f t="shared" si="12"/>
        <v>1571315.3599999999</v>
      </c>
      <c r="F28" s="158">
        <v>135401.25</v>
      </c>
      <c r="G28" s="106">
        <f>120328.93-1000</f>
        <v>119328.93</v>
      </c>
      <c r="H28" s="106">
        <v>33115.96</v>
      </c>
      <c r="I28" s="134">
        <v>54590</v>
      </c>
      <c r="J28" s="106">
        <v>1228879.22</v>
      </c>
      <c r="K28" s="87">
        <f t="shared" si="16"/>
        <v>964174.2</v>
      </c>
      <c r="L28" s="134">
        <v>744622.29</v>
      </c>
      <c r="M28" s="195">
        <v>95051.95</v>
      </c>
      <c r="N28" s="156">
        <v>10016.209999999999</v>
      </c>
      <c r="O28" s="195"/>
      <c r="P28" s="195">
        <v>114483.75</v>
      </c>
      <c r="Q28" s="106">
        <f t="shared" si="17"/>
        <v>281827.37</v>
      </c>
      <c r="R28" s="106">
        <v>237508.28999999998</v>
      </c>
      <c r="S28" s="114">
        <v>32513.149999999998</v>
      </c>
      <c r="T28" s="106">
        <v>6905.9299999999994</v>
      </c>
      <c r="U28" s="106">
        <v>4900</v>
      </c>
      <c r="V28" s="106"/>
    </row>
    <row r="29" spans="1:22">
      <c r="A29" s="265"/>
      <c r="B29" s="86" t="str">
        <f>IF(L!$A$1=1,L!B215,IF(L!$A$1=2,L!C215,L!D215))</f>
        <v xml:space="preserve">2021 Nëntor </v>
      </c>
      <c r="C29" s="87">
        <f t="shared" si="10"/>
        <v>2343421.13</v>
      </c>
      <c r="D29" s="87">
        <f t="shared" si="11"/>
        <v>2343421.13</v>
      </c>
      <c r="E29" s="125">
        <f t="shared" si="12"/>
        <v>1083897.74</v>
      </c>
      <c r="F29" s="132">
        <v>157684.76999999999</v>
      </c>
      <c r="G29" s="71">
        <v>143241.98000000001</v>
      </c>
      <c r="H29" s="134">
        <v>53965.79</v>
      </c>
      <c r="I29" s="104">
        <v>38289.199999999997</v>
      </c>
      <c r="J29" s="104">
        <v>690716</v>
      </c>
      <c r="K29" s="87">
        <f t="shared" si="16"/>
        <v>909742.63</v>
      </c>
      <c r="L29" s="87">
        <v>758632.35</v>
      </c>
      <c r="M29" s="87">
        <v>141694.38</v>
      </c>
      <c r="N29" s="134">
        <v>9415.9</v>
      </c>
      <c r="O29" s="87"/>
      <c r="P29" s="179"/>
      <c r="Q29" s="87">
        <f t="shared" si="17"/>
        <v>349780.76</v>
      </c>
      <c r="R29" s="134">
        <v>234847.88</v>
      </c>
      <c r="S29" s="87">
        <v>107351.83</v>
      </c>
      <c r="T29" s="134">
        <v>7581.05</v>
      </c>
      <c r="U29" s="87"/>
      <c r="V29" s="154"/>
    </row>
    <row r="30" spans="1:22">
      <c r="A30" s="265"/>
      <c r="B30" s="86" t="str">
        <f>IF(L!$A$1=1,L!B216,IF(L!$A$1=2,L!C216,L!D216))</f>
        <v>2021 Dhjetor</v>
      </c>
      <c r="C30" s="87">
        <f t="shared" si="10"/>
        <v>3781526.23</v>
      </c>
      <c r="D30" s="87">
        <f t="shared" si="11"/>
        <v>3781526.23</v>
      </c>
      <c r="E30" s="125">
        <f t="shared" si="12"/>
        <v>1998933.0500000003</v>
      </c>
      <c r="F30" s="109">
        <v>179301.8200000003</v>
      </c>
      <c r="G30" s="87">
        <f>181864.66</f>
        <v>181864.66</v>
      </c>
      <c r="H30" s="106">
        <v>113281.24000000011</v>
      </c>
      <c r="I30" s="134">
        <f>16300.8+6777.6</f>
        <v>23078.400000000001</v>
      </c>
      <c r="J30" s="87">
        <v>1501406.93</v>
      </c>
      <c r="K30" s="87">
        <f t="shared" si="16"/>
        <v>1412688.0799999998</v>
      </c>
      <c r="L30" s="87">
        <v>843481</v>
      </c>
      <c r="M30" s="87">
        <v>253290.4</v>
      </c>
      <c r="N30" s="106">
        <v>2150</v>
      </c>
      <c r="O30" s="87"/>
      <c r="P30" s="87">
        <v>313766.68</v>
      </c>
      <c r="Q30" s="87">
        <f t="shared" si="17"/>
        <v>369905.10000000003</v>
      </c>
      <c r="R30" s="87">
        <v>222259.04</v>
      </c>
      <c r="S30" s="87">
        <v>62897.36</v>
      </c>
      <c r="T30" s="87">
        <v>23665.7</v>
      </c>
      <c r="U30" s="87"/>
      <c r="V30" s="87">
        <v>61083</v>
      </c>
    </row>
    <row r="31" spans="1:22">
      <c r="A31" s="266"/>
      <c r="B31" s="88" t="str">
        <f>IF(L!$A$1=1,L!B217,IF(L!$A$1=2,L!C217,L!D217))</f>
        <v>Gjithsej 2021</v>
      </c>
      <c r="C31" s="89">
        <f t="shared" si="10"/>
        <v>28071128.280000001</v>
      </c>
      <c r="D31" s="90">
        <f>SUM(D19:D30)</f>
        <v>28071128.279999997</v>
      </c>
      <c r="E31" s="90">
        <f t="shared" ref="E31:V31" si="18">SUM(E19:E30)</f>
        <v>11935965.190000001</v>
      </c>
      <c r="F31" s="90">
        <f>SUM(F19:F30)</f>
        <v>1908489.08</v>
      </c>
      <c r="G31" s="90">
        <f t="shared" si="18"/>
        <v>1779484.3</v>
      </c>
      <c r="H31" s="90">
        <f t="shared" si="18"/>
        <v>494448.32000000007</v>
      </c>
      <c r="I31" s="90">
        <f t="shared" si="18"/>
        <v>444690.38000000006</v>
      </c>
      <c r="J31" s="90">
        <f t="shared" si="18"/>
        <v>7308853.1099999994</v>
      </c>
      <c r="K31" s="90">
        <f t="shared" si="18"/>
        <v>12043650.93</v>
      </c>
      <c r="L31" s="90">
        <f t="shared" si="18"/>
        <v>9798522.5300000012</v>
      </c>
      <c r="M31" s="90">
        <f t="shared" si="18"/>
        <v>1131788.5099999998</v>
      </c>
      <c r="N31" s="90">
        <f t="shared" si="18"/>
        <v>160020.46999999997</v>
      </c>
      <c r="O31" s="90">
        <f t="shared" si="18"/>
        <v>0</v>
      </c>
      <c r="P31" s="90">
        <f t="shared" si="18"/>
        <v>953319.41999999993</v>
      </c>
      <c r="Q31" s="90">
        <f t="shared" si="18"/>
        <v>4091512.1600000006</v>
      </c>
      <c r="R31" s="90">
        <f t="shared" si="18"/>
        <v>3195927.2099999995</v>
      </c>
      <c r="S31" s="90">
        <f t="shared" si="18"/>
        <v>670958.86</v>
      </c>
      <c r="T31" s="90">
        <f t="shared" si="18"/>
        <v>110480.59</v>
      </c>
      <c r="U31" s="90">
        <f t="shared" si="18"/>
        <v>24900</v>
      </c>
      <c r="V31" s="90">
        <f t="shared" si="18"/>
        <v>89245.5</v>
      </c>
    </row>
    <row r="32" spans="1:22">
      <c r="A32" s="264">
        <v>2022</v>
      </c>
      <c r="B32" s="86" t="str">
        <f>IF(L!$A$1=1,L!B218,IF(L!$A$1=2,L!C218,L!D218))</f>
        <v>2022 Janar</v>
      </c>
      <c r="C32" s="240">
        <f t="shared" ref="C32:C44" si="19">E32+K32+Q32</f>
        <v>1140910.2</v>
      </c>
      <c r="D32" s="240">
        <f t="shared" ref="D32:D43" si="20">+E32+K32+Q32</f>
        <v>1140910.2</v>
      </c>
      <c r="E32" s="241">
        <f t="shared" ref="E32:E43" si="21">+F32+G32+H32+I32+J32</f>
        <v>151300.4</v>
      </c>
      <c r="F32" s="242">
        <f>158864.4-7564</f>
        <v>151300.4</v>
      </c>
      <c r="G32" s="243"/>
      <c r="H32" s="243"/>
      <c r="I32" s="243"/>
      <c r="J32" s="244"/>
      <c r="K32" s="115">
        <f t="shared" ref="K32" si="22">SUM(L32:P32)</f>
        <v>755903.54</v>
      </c>
      <c r="L32" s="115">
        <v>755903.54</v>
      </c>
      <c r="M32" s="240"/>
      <c r="N32" s="245"/>
      <c r="O32" s="240"/>
      <c r="P32" s="240"/>
      <c r="Q32" s="240">
        <f t="shared" ref="Q32:Q37" si="23">SUM(R32:V32)</f>
        <v>233706.25999999998</v>
      </c>
      <c r="R32" s="115">
        <v>233706.25999999998</v>
      </c>
      <c r="S32" s="240"/>
      <c r="T32" s="245"/>
      <c r="U32" s="240"/>
      <c r="V32" s="240"/>
    </row>
    <row r="33" spans="1:22">
      <c r="A33" s="265"/>
      <c r="B33" s="86" t="str">
        <f>IF(L!$A$1=1,L!B219,IF(L!$A$1=2,L!C219,L!D219))</f>
        <v>2022 Shkurt</v>
      </c>
      <c r="C33" s="106">
        <f t="shared" si="19"/>
        <v>1793439.4000000001</v>
      </c>
      <c r="D33" s="106">
        <f t="shared" si="20"/>
        <v>1793439.4000000001</v>
      </c>
      <c r="E33" s="246">
        <f t="shared" si="21"/>
        <v>497732.08000000013</v>
      </c>
      <c r="F33" s="247">
        <v>152781.87000000011</v>
      </c>
      <c r="G33" s="159">
        <v>192701.2</v>
      </c>
      <c r="H33" s="248">
        <v>96041.510000000009</v>
      </c>
      <c r="I33" s="159"/>
      <c r="J33" s="189">
        <v>56207.5</v>
      </c>
      <c r="K33" s="106">
        <f t="shared" ref="K33" si="24">SUM(L33:P33)</f>
        <v>958076.13000000012</v>
      </c>
      <c r="L33" s="114">
        <v>781976.54</v>
      </c>
      <c r="M33" s="113">
        <v>156092.79999999999</v>
      </c>
      <c r="N33" s="248">
        <v>20006.79</v>
      </c>
      <c r="O33" s="113"/>
      <c r="P33" s="106"/>
      <c r="Q33" s="106">
        <f t="shared" si="23"/>
        <v>337631.19</v>
      </c>
      <c r="R33" s="106">
        <f>209871.25+46662.62</f>
        <v>256533.87</v>
      </c>
      <c r="S33" s="113">
        <v>56120.67</v>
      </c>
      <c r="T33" s="249">
        <v>24976.65</v>
      </c>
      <c r="U33" s="113"/>
      <c r="V33" s="106"/>
    </row>
    <row r="34" spans="1:22">
      <c r="A34" s="265"/>
      <c r="B34" s="86" t="str">
        <f>IF(L!$A$1=1,L!B220,IF(L!$A$1=2,L!C220,L!D220))</f>
        <v xml:space="preserve">2022 Mars </v>
      </c>
      <c r="C34" s="106">
        <f t="shared" si="19"/>
        <v>2351432.0099999998</v>
      </c>
      <c r="D34" s="106">
        <f t="shared" si="20"/>
        <v>2351432.0099999998</v>
      </c>
      <c r="E34" s="246">
        <f t="shared" si="21"/>
        <v>948598.41999999993</v>
      </c>
      <c r="F34" s="157">
        <v>151863</v>
      </c>
      <c r="G34" s="248">
        <v>267427.14</v>
      </c>
      <c r="H34" s="249">
        <v>48092.480000000003</v>
      </c>
      <c r="I34" s="159">
        <v>57639.199999999997</v>
      </c>
      <c r="J34" s="249">
        <v>423576.6</v>
      </c>
      <c r="K34" s="106">
        <f>SUM(L34:P34)</f>
        <v>1064650.02</v>
      </c>
      <c r="L34" s="247">
        <f>878998.95+451</f>
        <v>879449.95</v>
      </c>
      <c r="M34" s="250">
        <v>165210.89000000001</v>
      </c>
      <c r="N34" s="250">
        <v>19989.18</v>
      </c>
      <c r="O34" s="113"/>
      <c r="P34" s="251"/>
      <c r="Q34" s="106">
        <f t="shared" si="23"/>
        <v>338183.57</v>
      </c>
      <c r="R34" s="106">
        <v>240058.55</v>
      </c>
      <c r="S34" s="248">
        <v>87549.19</v>
      </c>
      <c r="T34" s="113">
        <v>10575.83</v>
      </c>
      <c r="U34" s="113"/>
      <c r="V34" s="106"/>
    </row>
    <row r="35" spans="1:22">
      <c r="A35" s="265"/>
      <c r="B35" s="86" t="str">
        <f>IF(L!$A$1=1,L!B221,IF(L!$A$1=2,L!C221,L!D221))</f>
        <v>2022 Prill</v>
      </c>
      <c r="C35" s="106">
        <f t="shared" si="19"/>
        <v>2187476.3400000003</v>
      </c>
      <c r="D35" s="106">
        <f t="shared" si="20"/>
        <v>2187476.3400000003</v>
      </c>
      <c r="E35" s="246">
        <f t="shared" si="21"/>
        <v>856558.56</v>
      </c>
      <c r="F35" s="248">
        <f>151863.37</f>
        <v>151863.37</v>
      </c>
      <c r="G35" s="157">
        <f>174901-4156</f>
        <v>170745</v>
      </c>
      <c r="H35" s="157">
        <v>50154.64</v>
      </c>
      <c r="I35" s="157">
        <v>47214.92</v>
      </c>
      <c r="J35" s="189">
        <v>436580.63</v>
      </c>
      <c r="K35" s="106">
        <f t="shared" ref="K35:K43" si="25">SUM(L35:P35)</f>
        <v>991210.12000000011</v>
      </c>
      <c r="L35" s="105">
        <v>756819.79</v>
      </c>
      <c r="M35" s="114">
        <v>110070.41</v>
      </c>
      <c r="N35" s="252">
        <v>19995.919999999998</v>
      </c>
      <c r="O35" s="252"/>
      <c r="P35" s="252">
        <v>104324</v>
      </c>
      <c r="Q35" s="106">
        <f t="shared" si="23"/>
        <v>339707.66000000003</v>
      </c>
      <c r="R35" s="252">
        <f>234396.95+3952</f>
        <v>238348.95</v>
      </c>
      <c r="S35" s="106">
        <v>89313.32</v>
      </c>
      <c r="T35" s="248">
        <v>12045.39</v>
      </c>
      <c r="U35" s="106"/>
      <c r="V35" s="106"/>
    </row>
    <row r="36" spans="1:22">
      <c r="A36" s="265"/>
      <c r="B36" s="86" t="str">
        <f>IF(L!$A$1=1,L!B222,IF(L!$A$1=2,L!C222,L!D222))</f>
        <v>2022 Maj</v>
      </c>
      <c r="C36" s="106">
        <f t="shared" si="19"/>
        <v>0</v>
      </c>
      <c r="D36" s="106">
        <f t="shared" si="20"/>
        <v>0</v>
      </c>
      <c r="E36" s="246">
        <f t="shared" si="21"/>
        <v>0</v>
      </c>
      <c r="F36" s="136"/>
      <c r="G36" s="136"/>
      <c r="H36" s="136"/>
      <c r="I36" s="136"/>
      <c r="J36" s="193"/>
      <c r="K36" s="106">
        <f t="shared" si="25"/>
        <v>0</v>
      </c>
      <c r="L36" s="106"/>
      <c r="M36" s="106"/>
      <c r="N36" s="253"/>
      <c r="O36" s="106"/>
      <c r="P36" s="106"/>
      <c r="Q36" s="106">
        <f t="shared" si="23"/>
        <v>0</v>
      </c>
      <c r="R36" s="106"/>
      <c r="S36" s="248"/>
      <c r="T36" s="106"/>
      <c r="U36" s="106"/>
      <c r="V36" s="248"/>
    </row>
    <row r="37" spans="1:22">
      <c r="A37" s="265"/>
      <c r="B37" s="86" t="str">
        <f>IF(L!$A$1=1,L!B223,IF(L!$A$1=2,L!C223,L!D223))</f>
        <v>2022 Qershor</v>
      </c>
      <c r="C37" s="106">
        <f t="shared" si="19"/>
        <v>0</v>
      </c>
      <c r="D37" s="106">
        <f t="shared" si="20"/>
        <v>0</v>
      </c>
      <c r="E37" s="246">
        <f t="shared" si="21"/>
        <v>0</v>
      </c>
      <c r="F37" s="136"/>
      <c r="G37" s="136"/>
      <c r="H37" s="136"/>
      <c r="I37" s="136"/>
      <c r="J37" s="248"/>
      <c r="K37" s="106">
        <f t="shared" si="25"/>
        <v>0</v>
      </c>
      <c r="L37" s="106"/>
      <c r="M37" s="106"/>
      <c r="N37" s="106"/>
      <c r="O37" s="106"/>
      <c r="P37" s="106"/>
      <c r="Q37" s="106">
        <f t="shared" si="23"/>
        <v>0</v>
      </c>
      <c r="R37" s="106"/>
      <c r="S37" s="106"/>
      <c r="T37" s="106"/>
      <c r="U37" s="248"/>
      <c r="V37" s="106"/>
    </row>
    <row r="38" spans="1:22">
      <c r="A38" s="265"/>
      <c r="B38" s="86" t="str">
        <f>IF(L!$A$1=1,L!B224,IF(L!$A$1=2,L!C224,L!D224))</f>
        <v>2022 Korrik</v>
      </c>
      <c r="C38" s="106">
        <f t="shared" si="19"/>
        <v>0</v>
      </c>
      <c r="D38" s="106">
        <f t="shared" si="20"/>
        <v>0</v>
      </c>
      <c r="E38" s="246">
        <f t="shared" si="21"/>
        <v>0</v>
      </c>
      <c r="F38" s="107"/>
      <c r="G38" s="136"/>
      <c r="H38" s="136"/>
      <c r="I38" s="107"/>
      <c r="J38" s="254"/>
      <c r="K38" s="106">
        <f t="shared" si="25"/>
        <v>0</v>
      </c>
      <c r="L38" s="106"/>
      <c r="M38" s="106"/>
      <c r="N38" s="106"/>
      <c r="O38" s="106"/>
      <c r="P38" s="114"/>
      <c r="Q38" s="106">
        <f>SUM(R38:V38)</f>
        <v>0</v>
      </c>
      <c r="R38" s="106"/>
      <c r="S38" s="106"/>
      <c r="T38" s="106"/>
      <c r="U38" s="106"/>
      <c r="V38" s="114"/>
    </row>
    <row r="39" spans="1:22">
      <c r="A39" s="265"/>
      <c r="B39" s="86" t="str">
        <f>IF(L!$A$1=1,L!B225,IF(L!$A$1=2,L!C225,L!D225))</f>
        <v>2022 Gusht</v>
      </c>
      <c r="C39" s="106">
        <f t="shared" si="19"/>
        <v>0</v>
      </c>
      <c r="D39" s="106">
        <f t="shared" si="20"/>
        <v>0</v>
      </c>
      <c r="E39" s="246">
        <f t="shared" si="21"/>
        <v>0</v>
      </c>
      <c r="F39" s="106"/>
      <c r="G39" s="106"/>
      <c r="H39" s="106"/>
      <c r="I39" s="106"/>
      <c r="J39" s="193"/>
      <c r="K39" s="106">
        <f t="shared" si="25"/>
        <v>0</v>
      </c>
      <c r="L39" s="107"/>
      <c r="M39" s="248"/>
      <c r="N39" s="107"/>
      <c r="O39" s="107"/>
      <c r="P39" s="248"/>
      <c r="Q39" s="106">
        <f>SUM(R39:V39)</f>
        <v>0</v>
      </c>
      <c r="R39" s="106"/>
      <c r="S39" s="248"/>
      <c r="T39" s="106"/>
      <c r="U39" s="106"/>
      <c r="V39" s="106"/>
    </row>
    <row r="40" spans="1:22">
      <c r="A40" s="265"/>
      <c r="B40" s="86" t="str">
        <f>IF(L!$A$1=1,L!B226,IF(L!$A$1=2,L!C226,L!D226))</f>
        <v>2022 Shtator</v>
      </c>
      <c r="C40" s="106">
        <f t="shared" si="19"/>
        <v>0</v>
      </c>
      <c r="D40" s="106">
        <f t="shared" si="20"/>
        <v>0</v>
      </c>
      <c r="E40" s="246">
        <f t="shared" si="21"/>
        <v>0</v>
      </c>
      <c r="F40" s="106"/>
      <c r="G40" s="106"/>
      <c r="H40" s="106"/>
      <c r="I40" s="106"/>
      <c r="J40" s="106"/>
      <c r="K40" s="106">
        <f t="shared" si="25"/>
        <v>0</v>
      </c>
      <c r="L40" s="106"/>
      <c r="M40" s="106"/>
      <c r="N40" s="106"/>
      <c r="O40" s="106"/>
      <c r="P40" s="106"/>
      <c r="Q40" s="106">
        <f t="shared" ref="Q40:Q43" si="26">SUM(R40:V40)</f>
        <v>0</v>
      </c>
      <c r="R40" s="106"/>
      <c r="S40" s="106"/>
      <c r="T40" s="106"/>
      <c r="U40" s="106"/>
      <c r="V40" s="106"/>
    </row>
    <row r="41" spans="1:22">
      <c r="A41" s="265"/>
      <c r="B41" s="86" t="str">
        <f>IF(L!$A$1=1,L!B227,IF(L!$A$1=2,L!C227,L!D227))</f>
        <v>2022 Tetor</v>
      </c>
      <c r="C41" s="87">
        <f t="shared" si="19"/>
        <v>0</v>
      </c>
      <c r="D41" s="87">
        <f t="shared" si="20"/>
        <v>0</v>
      </c>
      <c r="E41" s="255">
        <f t="shared" si="21"/>
        <v>0</v>
      </c>
      <c r="F41" s="248"/>
      <c r="G41" s="106"/>
      <c r="H41" s="106"/>
      <c r="I41" s="249"/>
      <c r="J41" s="106"/>
      <c r="K41" s="87">
        <f t="shared" si="25"/>
        <v>0</v>
      </c>
      <c r="L41" s="249"/>
      <c r="M41" s="256"/>
      <c r="N41" s="253"/>
      <c r="O41" s="256"/>
      <c r="P41" s="256"/>
      <c r="Q41" s="106">
        <f t="shared" si="26"/>
        <v>0</v>
      </c>
      <c r="R41" s="106"/>
      <c r="S41" s="114"/>
      <c r="T41" s="106"/>
      <c r="U41" s="106"/>
      <c r="V41" s="106"/>
    </row>
    <row r="42" spans="1:22">
      <c r="A42" s="265"/>
      <c r="B42" s="86" t="str">
        <f>IF(L!$A$1=1,L!B228,IF(L!$A$1=2,L!C228,L!D228))</f>
        <v xml:space="preserve">2022 Nëntor </v>
      </c>
      <c r="C42" s="87">
        <f t="shared" si="19"/>
        <v>0</v>
      </c>
      <c r="D42" s="87">
        <f t="shared" si="20"/>
        <v>0</v>
      </c>
      <c r="E42" s="255">
        <f t="shared" si="21"/>
        <v>0</v>
      </c>
      <c r="F42" s="257"/>
      <c r="G42" s="86"/>
      <c r="H42" s="249"/>
      <c r="I42" s="104"/>
      <c r="J42" s="104"/>
      <c r="K42" s="87">
        <f t="shared" si="25"/>
        <v>0</v>
      </c>
      <c r="L42" s="87"/>
      <c r="M42" s="87"/>
      <c r="N42" s="249"/>
      <c r="O42" s="87"/>
      <c r="P42" s="258"/>
      <c r="Q42" s="87">
        <f t="shared" si="26"/>
        <v>0</v>
      </c>
      <c r="R42" s="249"/>
      <c r="S42" s="87"/>
      <c r="T42" s="249"/>
      <c r="U42" s="87"/>
      <c r="V42" s="259"/>
    </row>
    <row r="43" spans="1:22">
      <c r="A43" s="265"/>
      <c r="B43" s="86" t="str">
        <f>IF(L!$A$1=1,L!B229,IF(L!$A$1=2,L!C229,L!D229))</f>
        <v>2022 Dhjetor</v>
      </c>
      <c r="C43" s="87">
        <f t="shared" si="19"/>
        <v>0</v>
      </c>
      <c r="D43" s="87">
        <f t="shared" si="20"/>
        <v>0</v>
      </c>
      <c r="E43" s="255">
        <f t="shared" si="21"/>
        <v>0</v>
      </c>
      <c r="F43" s="109"/>
      <c r="G43" s="87"/>
      <c r="H43" s="106"/>
      <c r="I43" s="249"/>
      <c r="J43" s="87"/>
      <c r="K43" s="87">
        <f t="shared" si="25"/>
        <v>0</v>
      </c>
      <c r="L43" s="87"/>
      <c r="M43" s="87"/>
      <c r="N43" s="106"/>
      <c r="O43" s="87"/>
      <c r="P43" s="87"/>
      <c r="Q43" s="87">
        <f t="shared" si="26"/>
        <v>0</v>
      </c>
      <c r="R43" s="87"/>
      <c r="S43" s="87"/>
      <c r="T43" s="87"/>
      <c r="U43" s="87"/>
      <c r="V43" s="87"/>
    </row>
    <row r="44" spans="1:22">
      <c r="A44" s="266"/>
      <c r="B44" s="88" t="str">
        <f>IF(L!$A$1=1,L!B230,IF(L!$A$1=2,L!C230,L!D230))</f>
        <v>Gjithsej 2022</v>
      </c>
      <c r="C44" s="238">
        <f t="shared" si="19"/>
        <v>7473257.9500000011</v>
      </c>
      <c r="D44" s="239">
        <f>SUM(D32:D43)</f>
        <v>7473257.9499999993</v>
      </c>
      <c r="E44" s="239">
        <f t="shared" ref="E44" si="27">SUM(E32:E43)</f>
        <v>2454189.46</v>
      </c>
      <c r="F44" s="239">
        <f>SUM(F32:F43)</f>
        <v>607808.64000000013</v>
      </c>
      <c r="G44" s="239">
        <f t="shared" ref="G44:V44" si="28">SUM(G32:G43)</f>
        <v>630873.34000000008</v>
      </c>
      <c r="H44" s="239">
        <f t="shared" si="28"/>
        <v>194288.63</v>
      </c>
      <c r="I44" s="239">
        <f t="shared" si="28"/>
        <v>104854.12</v>
      </c>
      <c r="J44" s="239">
        <f t="shared" si="28"/>
        <v>916364.73</v>
      </c>
      <c r="K44" s="239">
        <f t="shared" si="28"/>
        <v>3769839.8100000005</v>
      </c>
      <c r="L44" s="277">
        <f t="shared" si="28"/>
        <v>3174149.8200000003</v>
      </c>
      <c r="M44" s="239">
        <f t="shared" si="28"/>
        <v>431374.1</v>
      </c>
      <c r="N44" s="239">
        <f t="shared" si="28"/>
        <v>59991.89</v>
      </c>
      <c r="O44" s="239">
        <f t="shared" si="28"/>
        <v>0</v>
      </c>
      <c r="P44" s="239">
        <f t="shared" si="28"/>
        <v>104324</v>
      </c>
      <c r="Q44" s="239">
        <f t="shared" si="28"/>
        <v>1249228.6800000002</v>
      </c>
      <c r="R44" s="239">
        <f t="shared" si="28"/>
        <v>968647.62999999989</v>
      </c>
      <c r="S44" s="239">
        <f t="shared" si="28"/>
        <v>232983.18</v>
      </c>
      <c r="T44" s="239">
        <f t="shared" si="28"/>
        <v>47597.87</v>
      </c>
      <c r="U44" s="239">
        <f t="shared" si="28"/>
        <v>0</v>
      </c>
      <c r="V44" s="239">
        <f t="shared" si="28"/>
        <v>0</v>
      </c>
    </row>
    <row r="47" spans="1:22">
      <c r="C47" s="92"/>
    </row>
    <row r="49" spans="7:18">
      <c r="R49" s="92"/>
    </row>
    <row r="50" spans="7:18">
      <c r="G50" s="92"/>
      <c r="H50" s="278"/>
      <c r="I50" s="92"/>
      <c r="J50" s="92"/>
      <c r="K50" s="92"/>
      <c r="L50" s="92"/>
      <c r="R50" s="92"/>
    </row>
    <row r="52" spans="7:18">
      <c r="G52" s="275"/>
    </row>
    <row r="53" spans="7:18">
      <c r="G53" s="276"/>
    </row>
  </sheetData>
  <mergeCells count="8">
    <mergeCell ref="D1:D2"/>
    <mergeCell ref="B3:B5"/>
    <mergeCell ref="A3:A5"/>
    <mergeCell ref="Q4:Q5"/>
    <mergeCell ref="K4:K5"/>
    <mergeCell ref="A19:A31"/>
    <mergeCell ref="A6:A18"/>
    <mergeCell ref="A32:A44"/>
  </mergeCells>
  <pageMargins left="0.25" right="0.25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323850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42"/>
  <sheetViews>
    <sheetView tabSelected="1" view="pageBreakPreview" zoomScale="70" zoomScaleNormal="80" zoomScaleSheetLayoutView="70" workbookViewId="0">
      <pane xSplit="2" ySplit="3" topLeftCell="C19" activePane="bottomRight" state="frozen"/>
      <selection pane="topRight" activeCell="C1" sqref="C1"/>
      <selection pane="bottomLeft" activeCell="A9" sqref="A9"/>
      <selection pane="bottomRight" activeCell="Q38" sqref="Q38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4.28515625" style="1" customWidth="1"/>
    <col min="4" max="4" width="14" style="2" customWidth="1"/>
    <col min="5" max="6" width="12.42578125" style="2" customWidth="1"/>
    <col min="7" max="7" width="13.85546875" style="1" customWidth="1"/>
    <col min="8" max="8" width="14" style="1" customWidth="1"/>
    <col min="9" max="9" width="15.42578125" style="1" customWidth="1"/>
    <col min="10" max="10" width="12.7109375" style="1" bestFit="1" customWidth="1"/>
    <col min="11" max="12" width="13.7109375" style="1" customWidth="1"/>
    <col min="13" max="13" width="14.42578125" style="1" customWidth="1"/>
    <col min="14" max="14" width="9.140625" style="1"/>
    <col min="15" max="15" width="19.7109375" style="1" customWidth="1"/>
    <col min="16" max="16" width="13" style="1" customWidth="1"/>
    <col min="17" max="16384" width="9.140625" style="1"/>
  </cols>
  <sheetData>
    <row r="1" spans="1:13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</row>
    <row r="2" spans="1:13" s="3" customFormat="1" ht="17.25" customHeight="1">
      <c r="A2" s="94" t="s">
        <v>876</v>
      </c>
      <c r="B2" s="95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>
      <c r="A3" s="96" t="str">
        <f>IF(L!$A$1=1,L!G8,IF(L!$A$1=2,L!G18,L!G28))</f>
        <v>Viti</v>
      </c>
      <c r="B3" s="96" t="str">
        <f>IF(L!$A$1=1,L!H8,IF(L!$A$1=2,L!H18,L!H28))</f>
        <v>Viti / Muaji</v>
      </c>
      <c r="C3" s="9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98" t="s">
        <v>870</v>
      </c>
      <c r="F3" s="99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879</v>
      </c>
      <c r="M3" s="67" t="s">
        <v>877</v>
      </c>
    </row>
    <row r="4" spans="1:13" s="2" customFormat="1" ht="15" customHeight="1">
      <c r="A4" s="221"/>
      <c r="B4" s="221"/>
      <c r="C4" s="222"/>
      <c r="D4" s="223"/>
      <c r="E4" s="224"/>
      <c r="F4" s="225"/>
      <c r="G4" s="67"/>
      <c r="H4" s="223"/>
      <c r="I4" s="67"/>
      <c r="J4" s="223"/>
      <c r="K4" s="223"/>
      <c r="L4" s="223"/>
      <c r="M4" s="223"/>
    </row>
    <row r="5" spans="1:13" s="3" customFormat="1" ht="16.5">
      <c r="A5" s="274">
        <v>2020</v>
      </c>
      <c r="B5" s="5" t="str">
        <f>IF(L!$A$1=1,L!B192,IF(L!$A$1=2,L!C192,L!D192))</f>
        <v>2020 Janar</v>
      </c>
      <c r="C5" s="140">
        <f>SUM(D5:M5)</f>
        <v>387408.06</v>
      </c>
      <c r="D5" s="116">
        <v>111800.98</v>
      </c>
      <c r="E5" s="117">
        <v>106750.69</v>
      </c>
      <c r="F5" s="140">
        <v>8489</v>
      </c>
      <c r="G5" s="151">
        <v>8533</v>
      </c>
      <c r="H5" s="141">
        <f>53816.5+6390</f>
        <v>60206.5</v>
      </c>
      <c r="I5" s="152">
        <v>10670</v>
      </c>
      <c r="J5" s="142">
        <f>9883.5-6000</f>
        <v>3883.5</v>
      </c>
      <c r="K5" s="143">
        <v>34669</v>
      </c>
      <c r="L5" s="143"/>
      <c r="M5" s="140">
        <v>42405.39</v>
      </c>
    </row>
    <row r="6" spans="1:13" s="3" customFormat="1" ht="16.5">
      <c r="A6" s="274"/>
      <c r="B6" s="5" t="str">
        <f>IF(L!$A$1=1,L!B193,IF(L!$A$1=2,L!C193,L!D193))</f>
        <v>2020 Shkurt</v>
      </c>
      <c r="C6" s="144">
        <f>SUM(D6:M6)</f>
        <v>312359.07999999996</v>
      </c>
      <c r="D6" s="120">
        <v>91040.22</v>
      </c>
      <c r="E6" s="121">
        <v>18312.43</v>
      </c>
      <c r="F6" s="144">
        <f>1326+1668</f>
        <v>2994</v>
      </c>
      <c r="G6" s="122">
        <v>14305</v>
      </c>
      <c r="H6" s="145">
        <f>58561.5+5100</f>
        <v>63661.5</v>
      </c>
      <c r="I6" s="122">
        <v>16000</v>
      </c>
      <c r="J6" s="199">
        <v>11736</v>
      </c>
      <c r="K6" s="146">
        <v>8122</v>
      </c>
      <c r="L6" s="146"/>
      <c r="M6" s="140">
        <v>86187.93</v>
      </c>
    </row>
    <row r="7" spans="1:13" s="3" customFormat="1" ht="16.5">
      <c r="A7" s="274"/>
      <c r="B7" s="5" t="str">
        <f>IF(L!$A$1=1,L!B194,IF(L!$A$1=2,L!C194,L!D194))</f>
        <v xml:space="preserve">2020 Mars </v>
      </c>
      <c r="C7" s="147">
        <f t="shared" ref="C7:C17" si="0">SUM(D7:M7)</f>
        <v>417077.33</v>
      </c>
      <c r="D7" s="148">
        <v>53171.07</v>
      </c>
      <c r="E7" s="117">
        <v>258426.57</v>
      </c>
      <c r="F7" s="140">
        <v>3126</v>
      </c>
      <c r="G7" s="118">
        <v>9635</v>
      </c>
      <c r="H7" s="118">
        <f>1900+36641</f>
        <v>38541</v>
      </c>
      <c r="I7" s="153">
        <v>10150</v>
      </c>
      <c r="J7" s="119">
        <v>8021.5</v>
      </c>
      <c r="K7" s="142">
        <v>2816</v>
      </c>
      <c r="L7" s="182"/>
      <c r="M7" s="140">
        <v>33190.19</v>
      </c>
    </row>
    <row r="8" spans="1:13" s="3" customFormat="1" ht="16.5">
      <c r="A8" s="274"/>
      <c r="B8" s="5" t="str">
        <f>IF(L!$A$1=1,L!B195,IF(L!$A$1=2,L!C195,L!D195))</f>
        <v>2020 Prill</v>
      </c>
      <c r="C8" s="147">
        <f t="shared" si="0"/>
        <v>287850.37</v>
      </c>
      <c r="D8" s="197">
        <v>9062.6200000000008</v>
      </c>
      <c r="E8" s="142">
        <v>177628.75</v>
      </c>
      <c r="F8" s="140">
        <v>53883</v>
      </c>
      <c r="G8" s="118">
        <v>1371</v>
      </c>
      <c r="H8" s="200">
        <v>11655</v>
      </c>
      <c r="I8" s="153">
        <v>1340</v>
      </c>
      <c r="J8" s="142">
        <v>1300.5</v>
      </c>
      <c r="K8" s="149">
        <v>59</v>
      </c>
      <c r="L8" s="149"/>
      <c r="M8" s="140">
        <v>31550.5</v>
      </c>
    </row>
    <row r="9" spans="1:13" s="139" customFormat="1" ht="16.5">
      <c r="A9" s="274"/>
      <c r="B9" s="138" t="str">
        <f>IF(L!$A$1=1,L!B196,IF(L!$A$1=2,L!C196,L!D196))</f>
        <v>2020 Maj</v>
      </c>
      <c r="C9" s="143">
        <f t="shared" si="0"/>
        <v>181866.65999999997</v>
      </c>
      <c r="D9" s="142">
        <v>52122.45</v>
      </c>
      <c r="E9" s="117">
        <v>47708.41</v>
      </c>
      <c r="F9" s="143">
        <v>13915</v>
      </c>
      <c r="G9" s="118">
        <v>1573</v>
      </c>
      <c r="H9" s="201">
        <v>25823</v>
      </c>
      <c r="I9" s="118">
        <v>14030</v>
      </c>
      <c r="J9" s="119">
        <v>2261</v>
      </c>
      <c r="K9" s="143">
        <v>500</v>
      </c>
      <c r="L9" s="143"/>
      <c r="M9" s="143">
        <v>23933.8</v>
      </c>
    </row>
    <row r="10" spans="1:13" s="3" customFormat="1" ht="16.5">
      <c r="A10" s="274"/>
      <c r="B10" s="5" t="str">
        <f>IF(L!$A$1=1,L!B197,IF(L!$A$1=2,L!C197,L!D197))</f>
        <v>2020 Qershor</v>
      </c>
      <c r="C10" s="140">
        <f t="shared" si="0"/>
        <v>360052.82</v>
      </c>
      <c r="D10" s="197">
        <v>140008.97</v>
      </c>
      <c r="E10" s="117">
        <v>81873.570000000007</v>
      </c>
      <c r="F10" s="140">
        <v>5896.2</v>
      </c>
      <c r="G10" s="118">
        <v>7649</v>
      </c>
      <c r="H10" s="202">
        <f>43341+645</f>
        <v>43986</v>
      </c>
      <c r="I10" s="118">
        <v>27840</v>
      </c>
      <c r="J10" s="119">
        <v>4979</v>
      </c>
      <c r="K10" s="143">
        <v>8635</v>
      </c>
      <c r="L10" s="143"/>
      <c r="M10" s="140">
        <v>39185.08</v>
      </c>
    </row>
    <row r="11" spans="1:13" s="3" customFormat="1" ht="16.5">
      <c r="A11" s="274"/>
      <c r="B11" s="5" t="str">
        <f>IF(L!$A$1=1,L!B198,IF(L!$A$1=2,L!C198,L!D198))</f>
        <v>2020 Korrik</v>
      </c>
      <c r="C11" s="140">
        <f t="shared" si="0"/>
        <v>338931.77999999997</v>
      </c>
      <c r="D11" s="142">
        <v>178025.5</v>
      </c>
      <c r="E11" s="117">
        <v>16086.72</v>
      </c>
      <c r="F11" s="140">
        <v>6577.5</v>
      </c>
      <c r="G11" s="118">
        <v>11850</v>
      </c>
      <c r="H11" s="148">
        <v>61914</v>
      </c>
      <c r="I11" s="150">
        <v>23550</v>
      </c>
      <c r="J11" s="119">
        <v>5081</v>
      </c>
      <c r="K11" s="143">
        <v>500</v>
      </c>
      <c r="L11" s="143"/>
      <c r="M11" s="140">
        <v>35347.06</v>
      </c>
    </row>
    <row r="12" spans="1:13" s="3" customFormat="1" ht="16.5">
      <c r="A12" s="274"/>
      <c r="B12" s="5" t="str">
        <f>IF(L!$A$1=1,L!B199,IF(L!$A$1=2,L!C199,L!D199))</f>
        <v>2020 Gusht</v>
      </c>
      <c r="C12" s="177">
        <f t="shared" si="0"/>
        <v>314319.65000000002</v>
      </c>
      <c r="D12" s="116">
        <v>118332.70999999999</v>
      </c>
      <c r="E12" s="117">
        <v>26687.19</v>
      </c>
      <c r="F12" s="140">
        <v>5997</v>
      </c>
      <c r="G12" s="118">
        <v>11631</v>
      </c>
      <c r="H12" s="118">
        <v>70194.5</v>
      </c>
      <c r="I12" s="153">
        <v>26150</v>
      </c>
      <c r="J12" s="142">
        <v>4646.5</v>
      </c>
      <c r="K12" s="153">
        <v>550</v>
      </c>
      <c r="L12" s="183"/>
      <c r="M12" s="140">
        <v>50130.75</v>
      </c>
    </row>
    <row r="13" spans="1:13" s="3" customFormat="1" ht="16.5">
      <c r="A13" s="274"/>
      <c r="B13" s="5" t="str">
        <f>IF(L!$A$1=1,L!B200,IF(L!$A$1=2,L!C200,L!D200))</f>
        <v>2020 Shtator</v>
      </c>
      <c r="C13" s="140">
        <f t="shared" si="0"/>
        <v>311015.89</v>
      </c>
      <c r="D13" s="197">
        <v>103421.48</v>
      </c>
      <c r="E13" s="117">
        <v>45187.27</v>
      </c>
      <c r="F13" s="140">
        <v>5357</v>
      </c>
      <c r="G13" s="118">
        <v>8179</v>
      </c>
      <c r="H13" s="178">
        <f>86233+1545</f>
        <v>87778</v>
      </c>
      <c r="I13" s="150">
        <v>10070</v>
      </c>
      <c r="J13" s="119">
        <v>5055</v>
      </c>
      <c r="K13" s="149">
        <v>620</v>
      </c>
      <c r="L13" s="149"/>
      <c r="M13" s="140">
        <v>45348.14</v>
      </c>
    </row>
    <row r="14" spans="1:13" s="3" customFormat="1" ht="16.5">
      <c r="A14" s="274"/>
      <c r="B14" s="5" t="str">
        <f>IF(L!$A$1=1,L!B201,IF(L!$A$1=2,L!C201,L!D201))</f>
        <v>2020 Tetor</v>
      </c>
      <c r="C14" s="203">
        <f t="shared" si="0"/>
        <v>490531.89</v>
      </c>
      <c r="D14" s="123">
        <v>236469.98</v>
      </c>
      <c r="E14" s="117">
        <v>64292.82</v>
      </c>
      <c r="F14" s="203">
        <v>18390.45</v>
      </c>
      <c r="G14" s="118">
        <v>14652</v>
      </c>
      <c r="H14" s="204">
        <f>64251+2530.88</f>
        <v>66781.88</v>
      </c>
      <c r="I14" s="118">
        <v>29240</v>
      </c>
      <c r="J14" s="119">
        <v>8067</v>
      </c>
      <c r="K14" s="103">
        <v>8691</v>
      </c>
      <c r="L14" s="103"/>
      <c r="M14" s="203">
        <v>43946.76</v>
      </c>
    </row>
    <row r="15" spans="1:13" s="3" customFormat="1" ht="15.75" thickBot="1">
      <c r="A15" s="274"/>
      <c r="B15" s="5" t="str">
        <f>IF(L!$A$1=1,L!B202,IF(L!$A$1=2,L!C202,L!D202))</f>
        <v xml:space="preserve">2020 Nëntor </v>
      </c>
      <c r="C15" s="205">
        <f t="shared" si="0"/>
        <v>295599.34999999998</v>
      </c>
      <c r="D15" s="123">
        <v>110783.03999999999</v>
      </c>
      <c r="E15" s="205">
        <v>17442.009999999998</v>
      </c>
      <c r="F15" s="205">
        <v>13206.8</v>
      </c>
      <c r="G15" s="205">
        <v>8610</v>
      </c>
      <c r="H15" s="205">
        <f>63544+3835</f>
        <v>67379</v>
      </c>
      <c r="I15" s="205">
        <v>19550</v>
      </c>
      <c r="J15" s="205">
        <v>7736.5</v>
      </c>
      <c r="K15" s="205">
        <v>1769</v>
      </c>
      <c r="L15" s="205"/>
      <c r="M15" s="205">
        <v>49123</v>
      </c>
    </row>
    <row r="16" spans="1:13" s="3" customFormat="1" ht="17.25" thickBot="1">
      <c r="A16" s="274"/>
      <c r="B16" s="5" t="str">
        <f>IF(L!$A$1=1,L!B203,IF(L!$A$1=2,L!C203,L!D203))</f>
        <v>2020 Dhjetor</v>
      </c>
      <c r="C16" s="205">
        <f t="shared" si="0"/>
        <v>451171.42</v>
      </c>
      <c r="D16" s="123">
        <v>207859.65</v>
      </c>
      <c r="E16" s="206">
        <v>22159.77</v>
      </c>
      <c r="F16" s="205">
        <v>26237.5</v>
      </c>
      <c r="G16" s="205">
        <v>14373.5</v>
      </c>
      <c r="H16" s="205">
        <f>70993.5+8975</f>
        <v>79968.5</v>
      </c>
      <c r="I16" s="205">
        <v>21490</v>
      </c>
      <c r="J16" s="207">
        <v>10174.5</v>
      </c>
      <c r="K16" s="208">
        <v>1416</v>
      </c>
      <c r="L16" s="209"/>
      <c r="M16" s="205">
        <v>67492</v>
      </c>
    </row>
    <row r="17" spans="1:18" s="3" customFormat="1">
      <c r="A17" s="274"/>
      <c r="B17" s="6" t="str">
        <f>IF(L!$A$1=1,L!B204,IF(L!$A$1=2,L!C204,L!D204))</f>
        <v>Gjithsej 2020</v>
      </c>
      <c r="C17" s="101">
        <f t="shared" si="0"/>
        <v>4148184.3</v>
      </c>
      <c r="D17" s="102">
        <f>SUM(D5:D16)</f>
        <v>1412098.67</v>
      </c>
      <c r="E17" s="102">
        <f>SUM(E5:E16)</f>
        <v>882556.19999999984</v>
      </c>
      <c r="F17" s="102">
        <f>SUM(F5:F16)</f>
        <v>164069.44999999998</v>
      </c>
      <c r="G17" s="102">
        <f t="shared" ref="G17:K17" si="1">SUM(G5:G16)</f>
        <v>112361.5</v>
      </c>
      <c r="H17" s="102">
        <f t="shared" si="1"/>
        <v>677888.88</v>
      </c>
      <c r="I17" s="102">
        <f t="shared" si="1"/>
        <v>210080</v>
      </c>
      <c r="J17" s="102">
        <f t="shared" si="1"/>
        <v>72942</v>
      </c>
      <c r="K17" s="102">
        <f t="shared" si="1"/>
        <v>68347</v>
      </c>
      <c r="L17" s="102"/>
      <c r="M17" s="102">
        <f>SUM(M5:M16)</f>
        <v>547840.60000000009</v>
      </c>
    </row>
    <row r="18" spans="1:18" s="3" customFormat="1" ht="16.5">
      <c r="A18" s="180"/>
      <c r="B18" s="5" t="str">
        <f>IF(L!$A$1=1,L!B205,IF(L!$A$1=2,L!C205,L!D205))</f>
        <v>2021 Janar</v>
      </c>
      <c r="C18" s="140">
        <f>SUM(D18:M18)</f>
        <v>349097.77</v>
      </c>
      <c r="D18" s="116">
        <v>130039</v>
      </c>
      <c r="E18" s="117">
        <v>70627.39</v>
      </c>
      <c r="F18" s="140">
        <v>35019.65</v>
      </c>
      <c r="G18" s="184">
        <v>5132</v>
      </c>
      <c r="H18" s="141">
        <v>61839</v>
      </c>
      <c r="I18" s="185">
        <v>14140</v>
      </c>
      <c r="J18" s="148">
        <v>2846</v>
      </c>
      <c r="K18" s="143">
        <v>13309</v>
      </c>
      <c r="L18" s="143">
        <v>-18750</v>
      </c>
      <c r="M18" s="140">
        <v>34895.730000000003</v>
      </c>
    </row>
    <row r="19" spans="1:18" s="3" customFormat="1" ht="16.5">
      <c r="A19" s="274">
        <v>2021</v>
      </c>
      <c r="B19" s="5" t="str">
        <f>IF(L!$A$1=1,L!B206,IF(L!$A$1=2,L!C206,L!D206))</f>
        <v>2021 Shkurt</v>
      </c>
      <c r="C19" s="140">
        <f>SUM(D19:M19)</f>
        <v>446226.58</v>
      </c>
      <c r="D19" s="116">
        <v>150011.18</v>
      </c>
      <c r="E19" s="117">
        <v>131494.35999999999</v>
      </c>
      <c r="F19" s="140">
        <v>9317</v>
      </c>
      <c r="G19" s="184">
        <v>9647</v>
      </c>
      <c r="H19" s="141">
        <v>54457</v>
      </c>
      <c r="I19" s="185">
        <v>12390</v>
      </c>
      <c r="J19" s="148">
        <v>7597</v>
      </c>
      <c r="K19" s="143">
        <v>15487</v>
      </c>
      <c r="L19" s="143">
        <v>1328.58</v>
      </c>
      <c r="M19" s="140">
        <f>53497.46+1000</f>
        <v>54497.46</v>
      </c>
    </row>
    <row r="20" spans="1:18" s="3" customFormat="1" ht="16.5">
      <c r="A20" s="274"/>
      <c r="B20" s="5" t="str">
        <f>IF(L!$A$1=1,L!B207,IF(L!$A$1=2,L!C207,L!D207))</f>
        <v xml:space="preserve">2021 Mars </v>
      </c>
      <c r="C20" s="144">
        <f>SUM(D20:M20)</f>
        <v>591150.46999999986</v>
      </c>
      <c r="D20" s="120">
        <v>221620.25</v>
      </c>
      <c r="E20" s="121">
        <v>189162.58</v>
      </c>
      <c r="F20" s="144">
        <v>8296.2999999999993</v>
      </c>
      <c r="G20" s="210">
        <v>10044</v>
      </c>
      <c r="H20" s="145">
        <v>72069</v>
      </c>
      <c r="I20" s="211">
        <v>19950</v>
      </c>
      <c r="J20" s="212">
        <v>9618</v>
      </c>
      <c r="K20" s="146">
        <v>6188</v>
      </c>
      <c r="L20" s="146"/>
      <c r="M20" s="140">
        <v>54202.34</v>
      </c>
    </row>
    <row r="21" spans="1:18" s="3" customFormat="1" ht="16.5">
      <c r="A21" s="274"/>
      <c r="B21" s="5" t="str">
        <f>IF(L!$A$1=1,L!B208,IF(L!$A$1=2,L!C208,L!D208))</f>
        <v>2021 Prill</v>
      </c>
      <c r="C21" s="147">
        <f t="shared" ref="C21:C29" si="2">SUM(D21:M21)</f>
        <v>733330.25</v>
      </c>
      <c r="D21" s="148">
        <v>371995.91</v>
      </c>
      <c r="E21" s="117">
        <v>242148.58</v>
      </c>
      <c r="F21" s="140">
        <v>9578</v>
      </c>
      <c r="G21" s="118">
        <v>13082</v>
      </c>
      <c r="H21" s="118">
        <v>4615</v>
      </c>
      <c r="I21" s="150">
        <v>12060</v>
      </c>
      <c r="J21" s="213">
        <v>8178.5</v>
      </c>
      <c r="K21" s="213">
        <v>5869</v>
      </c>
      <c r="L21" s="214">
        <v>3565.58</v>
      </c>
      <c r="M21" s="140">
        <v>62237.68</v>
      </c>
    </row>
    <row r="22" spans="1:18" s="3" customFormat="1" ht="16.5">
      <c r="A22" s="274"/>
      <c r="B22" s="5" t="str">
        <f>IF(L!$A$1=1,L!B209,IF(L!$A$1=2,L!C209,L!D209))</f>
        <v>2021 Maj</v>
      </c>
      <c r="C22" s="147">
        <f t="shared" si="2"/>
        <v>389048.08</v>
      </c>
      <c r="D22" s="215">
        <v>252704.38</v>
      </c>
      <c r="E22" s="148">
        <v>31861.33</v>
      </c>
      <c r="F22" s="140">
        <v>7134.92</v>
      </c>
      <c r="G22" s="118">
        <v>7897</v>
      </c>
      <c r="H22" s="216">
        <v>3300</v>
      </c>
      <c r="I22" s="150">
        <v>14610</v>
      </c>
      <c r="J22" s="148">
        <v>5467</v>
      </c>
      <c r="K22" s="149">
        <v>11041</v>
      </c>
      <c r="L22" s="149"/>
      <c r="M22" s="140">
        <f>55032.45</f>
        <v>55032.45</v>
      </c>
      <c r="N22" s="139"/>
      <c r="O22" s="139"/>
      <c r="P22" s="139"/>
      <c r="Q22" s="139"/>
      <c r="R22" s="139"/>
    </row>
    <row r="23" spans="1:18" s="139" customFormat="1" ht="16.5">
      <c r="A23" s="274"/>
      <c r="B23" s="138" t="str">
        <f>IF(L!$A$1=1,L!B210,IF(L!$A$1=2,L!C210,L!D210))</f>
        <v>2021 Qershor</v>
      </c>
      <c r="C23" s="143">
        <f t="shared" si="2"/>
        <v>526971.85</v>
      </c>
      <c r="D23" s="148">
        <v>176634.23999999999</v>
      </c>
      <c r="E23" s="117">
        <v>28171.81</v>
      </c>
      <c r="F23" s="143">
        <v>42666.5</v>
      </c>
      <c r="G23" s="118">
        <v>12507</v>
      </c>
      <c r="H23" s="216">
        <v>140780.29999999999</v>
      </c>
      <c r="I23" s="118">
        <v>26030</v>
      </c>
      <c r="J23" s="119">
        <v>7687</v>
      </c>
      <c r="K23" s="143">
        <v>17045</v>
      </c>
      <c r="L23" s="143">
        <v>12414</v>
      </c>
      <c r="M23" s="143">
        <v>63036</v>
      </c>
      <c r="N23" s="3"/>
      <c r="O23" s="3"/>
      <c r="P23" s="3"/>
      <c r="Q23" s="3"/>
      <c r="R23" s="3"/>
    </row>
    <row r="24" spans="1:18" s="3" customFormat="1" ht="16.5">
      <c r="A24" s="274"/>
      <c r="B24" s="5" t="str">
        <f>IF(L!$A$1=1,L!B211,IF(L!$A$1=2,L!C211,L!D211))</f>
        <v>2021 Korrik</v>
      </c>
      <c r="C24" s="140">
        <f t="shared" si="2"/>
        <v>409878.19999999995</v>
      </c>
      <c r="D24" s="215">
        <v>202608.06</v>
      </c>
      <c r="E24" s="117">
        <v>63914.3</v>
      </c>
      <c r="F24" s="140">
        <v>14274.8</v>
      </c>
      <c r="G24" s="118">
        <v>12450</v>
      </c>
      <c r="H24" s="217">
        <v>3285</v>
      </c>
      <c r="I24" s="118">
        <v>26010</v>
      </c>
      <c r="J24" s="119">
        <v>6392.5</v>
      </c>
      <c r="K24" s="143">
        <v>4955</v>
      </c>
      <c r="L24" s="143">
        <v>1503.54</v>
      </c>
      <c r="M24" s="140">
        <v>74485</v>
      </c>
    </row>
    <row r="25" spans="1:18" s="3" customFormat="1" ht="16.5">
      <c r="A25" s="274"/>
      <c r="B25" s="5" t="str">
        <f>IF(L!$A$1=1,L!B212,IF(L!$A$1=2,L!C212,L!D212))</f>
        <v>2021 Gusht</v>
      </c>
      <c r="C25" s="140">
        <f t="shared" si="2"/>
        <v>411717.48</v>
      </c>
      <c r="D25" s="148">
        <v>271929.67</v>
      </c>
      <c r="E25" s="117">
        <v>11284.35</v>
      </c>
      <c r="F25" s="140">
        <v>1672</v>
      </c>
      <c r="G25" s="118">
        <v>21679</v>
      </c>
      <c r="H25" s="148">
        <v>3225</v>
      </c>
      <c r="I25" s="150">
        <v>20860</v>
      </c>
      <c r="J25" s="119">
        <v>12187</v>
      </c>
      <c r="K25" s="143">
        <v>577</v>
      </c>
      <c r="L25" s="143">
        <v>4311</v>
      </c>
      <c r="M25" s="140">
        <v>63992.46</v>
      </c>
    </row>
    <row r="26" spans="1:18" s="3" customFormat="1" ht="16.5">
      <c r="A26" s="274"/>
      <c r="B26" s="5" t="str">
        <f>IF(L!$A$1=1,L!B213,IF(L!$A$1=2,L!C213,L!D213))</f>
        <v>2021 Shtator</v>
      </c>
      <c r="C26" s="140">
        <f t="shared" si="2"/>
        <v>648198.64</v>
      </c>
      <c r="D26" s="116">
        <v>242715.67</v>
      </c>
      <c r="E26" s="117">
        <v>18905.45</v>
      </c>
      <c r="F26" s="140">
        <v>9800</v>
      </c>
      <c r="G26" s="118">
        <v>19101.400000000001</v>
      </c>
      <c r="H26" s="118">
        <v>262284.5</v>
      </c>
      <c r="I26" s="150">
        <v>20950</v>
      </c>
      <c r="J26" s="148">
        <v>10652</v>
      </c>
      <c r="K26" s="150">
        <v>553</v>
      </c>
      <c r="L26" s="187">
        <v>15</v>
      </c>
      <c r="M26" s="140">
        <v>63221.62</v>
      </c>
    </row>
    <row r="27" spans="1:18" s="3" customFormat="1" ht="16.5">
      <c r="A27" s="274"/>
      <c r="B27" s="5" t="str">
        <f>IF(L!$A$1=1,L!B214,IF(L!$A$1=2,L!C214,L!D214))</f>
        <v>2021 Tetor</v>
      </c>
      <c r="C27" s="140">
        <f t="shared" si="2"/>
        <v>415145.41999999993</v>
      </c>
      <c r="D27" s="197">
        <v>140503.46</v>
      </c>
      <c r="E27" s="117">
        <v>171842.12</v>
      </c>
      <c r="F27" s="140">
        <v>3087.8</v>
      </c>
      <c r="G27" s="118">
        <v>15365.5</v>
      </c>
      <c r="H27" s="178">
        <v>5670</v>
      </c>
      <c r="I27" s="150">
        <v>21920</v>
      </c>
      <c r="J27" s="119">
        <v>8056</v>
      </c>
      <c r="K27" s="149">
        <v>7705</v>
      </c>
      <c r="L27" s="149">
        <v>1503.54</v>
      </c>
      <c r="M27" s="140">
        <v>39492</v>
      </c>
    </row>
    <row r="28" spans="1:18" s="3" customFormat="1" ht="16.5">
      <c r="A28" s="274"/>
      <c r="B28" s="5" t="str">
        <f>IF(L!$A$1=1,L!B215,IF(L!$A$1=2,L!C215,L!D215))</f>
        <v xml:space="preserve">2021 Nëntor </v>
      </c>
      <c r="C28" s="203">
        <f t="shared" si="2"/>
        <v>300942.16000000003</v>
      </c>
      <c r="D28" s="198">
        <v>119817.48</v>
      </c>
      <c r="E28" s="218">
        <v>52066.84</v>
      </c>
      <c r="F28" s="203">
        <v>7420</v>
      </c>
      <c r="G28" s="118">
        <v>14206</v>
      </c>
      <c r="H28" s="204">
        <v>7285</v>
      </c>
      <c r="I28" s="118">
        <v>20500</v>
      </c>
      <c r="J28" s="119">
        <v>10099.5</v>
      </c>
      <c r="K28" s="218">
        <v>6163</v>
      </c>
      <c r="L28" s="103"/>
      <c r="M28" s="203">
        <f>104558.75-7420-33754.41</f>
        <v>63384.34</v>
      </c>
    </row>
    <row r="29" spans="1:18" s="3" customFormat="1">
      <c r="A29" s="274"/>
      <c r="B29" s="5" t="str">
        <f>IF(L!$A$1=1,L!B216,IF(L!$A$1=2,L!C216,L!D216))</f>
        <v>2021 Dhjetor</v>
      </c>
      <c r="C29" s="205">
        <f t="shared" si="2"/>
        <v>573282.31000000006</v>
      </c>
      <c r="D29" s="123">
        <v>175353.14</v>
      </c>
      <c r="E29" s="205">
        <v>19624.669999999998</v>
      </c>
      <c r="F29" s="205">
        <v>4616.3999999999996</v>
      </c>
      <c r="G29" s="220">
        <v>18917.099999999999</v>
      </c>
      <c r="H29" s="205">
        <v>263156.5</v>
      </c>
      <c r="I29" s="205">
        <v>21900</v>
      </c>
      <c r="J29" s="219">
        <v>16801.5</v>
      </c>
      <c r="K29" s="205">
        <v>8248</v>
      </c>
      <c r="L29" s="205"/>
      <c r="M29" s="205">
        <f>44679-14</f>
        <v>44665</v>
      </c>
    </row>
    <row r="30" spans="1:18" s="3" customFormat="1">
      <c r="A30" s="274"/>
      <c r="B30" s="226" t="str">
        <f>IF(L!$A$1=1,L!B217,IF(L!$A$1=2,L!C217,L!D217))</f>
        <v>Gjithsej 2021</v>
      </c>
      <c r="C30" s="227">
        <f>SUM(C18:C29)</f>
        <v>5794989.2100000009</v>
      </c>
      <c r="D30" s="227">
        <f t="shared" ref="D30:M30" si="3">SUM(D18:D29)</f>
        <v>2455932.44</v>
      </c>
      <c r="E30" s="227">
        <f t="shared" si="3"/>
        <v>1031103.7799999999</v>
      </c>
      <c r="F30" s="227">
        <f t="shared" si="3"/>
        <v>152883.36999999997</v>
      </c>
      <c r="G30" s="227">
        <f t="shared" si="3"/>
        <v>160028</v>
      </c>
      <c r="H30" s="227">
        <f t="shared" si="3"/>
        <v>881966.3</v>
      </c>
      <c r="I30" s="227">
        <f t="shared" si="3"/>
        <v>231320</v>
      </c>
      <c r="J30" s="227">
        <f t="shared" si="3"/>
        <v>105582</v>
      </c>
      <c r="K30" s="227">
        <f t="shared" si="3"/>
        <v>97140</v>
      </c>
      <c r="L30" s="227">
        <f t="shared" si="3"/>
        <v>5891.2400000000016</v>
      </c>
      <c r="M30" s="227">
        <f t="shared" si="3"/>
        <v>673142.08</v>
      </c>
      <c r="Q30" s="133"/>
    </row>
    <row r="31" spans="1:18" s="3" customFormat="1" ht="16.5">
      <c r="A31" s="274"/>
      <c r="B31" s="5" t="str">
        <f>IF(L!$A$1=1,L!B218,IF(L!$A$1=2,L!C218,L!D218))</f>
        <v>2022 Janar</v>
      </c>
      <c r="C31" s="140">
        <f>SUM(D31:M31)</f>
        <v>294832.80000000005</v>
      </c>
      <c r="D31" s="228">
        <v>96301.78</v>
      </c>
      <c r="E31" s="229">
        <v>84210.06</v>
      </c>
      <c r="F31" s="140"/>
      <c r="G31" s="184">
        <v>7305.5</v>
      </c>
      <c r="H31" s="141"/>
      <c r="I31" s="185">
        <v>15340</v>
      </c>
      <c r="J31" s="148">
        <v>2884.5</v>
      </c>
      <c r="K31" s="230">
        <v>40312.980000000003</v>
      </c>
      <c r="L31" s="143">
        <v>3274.98</v>
      </c>
      <c r="M31" s="140">
        <v>45203</v>
      </c>
    </row>
    <row r="32" spans="1:18" s="3" customFormat="1" ht="16.5">
      <c r="B32" s="5" t="str">
        <f>IF(L!$A$1=1,L!B219,IF(L!$A$1=2,L!C219,L!D219))</f>
        <v>2022 Shkurt</v>
      </c>
      <c r="C32" s="140">
        <f>SUM(D32:M32)</f>
        <v>381930.99</v>
      </c>
      <c r="D32" s="116">
        <v>198396.12</v>
      </c>
      <c r="E32" s="117">
        <v>48004.37</v>
      </c>
      <c r="F32" s="140">
        <v>2018</v>
      </c>
      <c r="G32" s="184">
        <v>16114.5</v>
      </c>
      <c r="H32" s="141"/>
      <c r="I32" s="185">
        <v>17300</v>
      </c>
      <c r="J32" s="148">
        <v>12949</v>
      </c>
      <c r="K32" s="231">
        <v>5290</v>
      </c>
      <c r="L32" s="143"/>
      <c r="M32" s="140">
        <v>81859</v>
      </c>
    </row>
    <row r="33" spans="1:18" s="3" customFormat="1" ht="16.5">
      <c r="B33" s="5" t="str">
        <f>IF(L!$A$1=1,L!B220,IF(L!$A$1=2,L!C220,L!D220))</f>
        <v xml:space="preserve">2022 Mars </v>
      </c>
      <c r="C33" s="144">
        <f>SUM(D33:M33)</f>
        <v>685059.16999999993</v>
      </c>
      <c r="D33" s="120">
        <v>215238.09</v>
      </c>
      <c r="E33" s="121">
        <v>93625.25</v>
      </c>
      <c r="F33" s="234">
        <v>3699.2</v>
      </c>
      <c r="G33" s="210">
        <v>14917.83</v>
      </c>
      <c r="H33" s="145">
        <f>16400+236671.8</f>
        <v>253071.8</v>
      </c>
      <c r="I33" s="232">
        <v>17710</v>
      </c>
      <c r="J33" s="233">
        <v>7786</v>
      </c>
      <c r="K33" s="146">
        <v>6301</v>
      </c>
      <c r="L33" s="235">
        <v>11160</v>
      </c>
      <c r="M33" s="140">
        <f>50390+11160</f>
        <v>61550</v>
      </c>
      <c r="O33" s="133"/>
      <c r="Q33" s="133"/>
    </row>
    <row r="34" spans="1:18" s="3" customFormat="1" ht="16.5">
      <c r="B34" s="5" t="str">
        <f>IF(L!$A$1=1,L!B221,IF(L!$A$1=2,L!C221,L!D221))</f>
        <v>2022 Prill</v>
      </c>
      <c r="C34" s="147">
        <f t="shared" ref="C34:C42" si="4">SUM(D34:M34)</f>
        <v>454678.58</v>
      </c>
      <c r="D34" s="236">
        <v>227811.08</v>
      </c>
      <c r="E34" s="117">
        <v>123589.3</v>
      </c>
      <c r="F34" s="237">
        <v>2642.2</v>
      </c>
      <c r="G34" s="118">
        <v>13092</v>
      </c>
      <c r="H34" s="118"/>
      <c r="I34" s="237">
        <v>14440</v>
      </c>
      <c r="J34" s="237">
        <v>10597</v>
      </c>
      <c r="K34" s="213">
        <v>8612</v>
      </c>
      <c r="L34" s="214"/>
      <c r="M34" s="140">
        <v>53895</v>
      </c>
    </row>
    <row r="35" spans="1:18" s="3" customFormat="1" ht="16.5">
      <c r="B35" s="5" t="str">
        <f>IF(L!$A$1=1,L!B222,IF(L!$A$1=2,L!C222,L!D222))</f>
        <v>2022 Maj</v>
      </c>
      <c r="C35" s="147">
        <f t="shared" si="4"/>
        <v>0</v>
      </c>
      <c r="D35" s="215"/>
      <c r="E35" s="148"/>
      <c r="F35" s="140"/>
      <c r="G35" s="118"/>
      <c r="H35" s="216"/>
      <c r="I35" s="150"/>
      <c r="J35" s="148"/>
      <c r="K35" s="149"/>
      <c r="L35" s="149"/>
      <c r="M35" s="140"/>
      <c r="N35" s="139"/>
      <c r="O35" s="139"/>
      <c r="P35" s="139"/>
      <c r="Q35" s="139"/>
      <c r="R35" s="139"/>
    </row>
    <row r="36" spans="1:18" s="139" customFormat="1" ht="16.5">
      <c r="A36" s="3"/>
      <c r="B36" s="138" t="str">
        <f>IF(L!$A$1=1,L!B223,IF(L!$A$1=2,L!C223,L!D223))</f>
        <v>2022 Qershor</v>
      </c>
      <c r="C36" s="143">
        <f t="shared" si="4"/>
        <v>0</v>
      </c>
      <c r="D36" s="148"/>
      <c r="E36" s="117"/>
      <c r="F36" s="143"/>
      <c r="G36" s="118"/>
      <c r="H36" s="216"/>
      <c r="I36" s="118"/>
      <c r="J36" s="119"/>
      <c r="K36" s="143"/>
      <c r="L36" s="143"/>
      <c r="M36" s="143"/>
      <c r="N36" s="3"/>
      <c r="O36" s="3"/>
      <c r="P36" s="3"/>
      <c r="Q36" s="3"/>
      <c r="R36" s="3"/>
    </row>
    <row r="37" spans="1:18" s="3" customFormat="1" ht="16.5">
      <c r="B37" s="5" t="str">
        <f>IF(L!$A$1=1,L!B224,IF(L!$A$1=2,L!C224,L!D224))</f>
        <v>2022 Korrik</v>
      </c>
      <c r="C37" s="140">
        <f t="shared" si="4"/>
        <v>0</v>
      </c>
      <c r="D37" s="215"/>
      <c r="E37" s="117"/>
      <c r="F37" s="140"/>
      <c r="G37" s="118"/>
      <c r="H37" s="217"/>
      <c r="I37" s="118"/>
      <c r="J37" s="119"/>
      <c r="K37" s="143"/>
      <c r="L37" s="143"/>
      <c r="M37" s="140"/>
    </row>
    <row r="38" spans="1:18" s="3" customFormat="1" ht="16.5">
      <c r="B38" s="5" t="str">
        <f>IF(L!$A$1=1,L!B225,IF(L!$A$1=2,L!C225,L!D225))</f>
        <v>2022 Gusht</v>
      </c>
      <c r="C38" s="140">
        <f t="shared" si="4"/>
        <v>0</v>
      </c>
      <c r="D38" s="148"/>
      <c r="E38" s="117"/>
      <c r="F38" s="140"/>
      <c r="G38" s="118"/>
      <c r="H38" s="148"/>
      <c r="I38" s="150"/>
      <c r="J38" s="119"/>
      <c r="K38" s="143"/>
      <c r="L38" s="143"/>
      <c r="M38" s="140"/>
    </row>
    <row r="39" spans="1:18" s="3" customFormat="1" ht="16.5">
      <c r="B39" s="5" t="str">
        <f>IF(L!$A$1=1,L!B226,IF(L!$A$1=2,L!C226,L!D226))</f>
        <v>2022 Shtator</v>
      </c>
      <c r="C39" s="140">
        <f t="shared" si="4"/>
        <v>0</v>
      </c>
      <c r="D39" s="116"/>
      <c r="E39" s="117"/>
      <c r="F39" s="140"/>
      <c r="G39" s="118"/>
      <c r="H39" s="118"/>
      <c r="I39" s="150"/>
      <c r="J39" s="148"/>
      <c r="K39" s="150"/>
      <c r="L39" s="187"/>
      <c r="M39" s="140"/>
      <c r="O39" s="133"/>
    </row>
    <row r="40" spans="1:18" s="3" customFormat="1" ht="16.5">
      <c r="B40" s="5" t="str">
        <f>IF(L!$A$1=1,L!B227,IF(L!$A$1=2,L!C227,L!D227))</f>
        <v>2022 Tetor</v>
      </c>
      <c r="C40" s="140">
        <f t="shared" si="4"/>
        <v>0</v>
      </c>
      <c r="D40" s="197"/>
      <c r="E40" s="117"/>
      <c r="F40" s="140"/>
      <c r="G40" s="118"/>
      <c r="H40" s="178"/>
      <c r="I40" s="150"/>
      <c r="J40" s="119"/>
      <c r="K40" s="149"/>
      <c r="L40" s="149"/>
      <c r="M40" s="140"/>
    </row>
    <row r="41" spans="1:18" s="3" customFormat="1" ht="16.5">
      <c r="B41" s="5" t="str">
        <f>IF(L!$A$1=1,L!B228,IF(L!$A$1=2,L!C228,L!D228))</f>
        <v xml:space="preserve">2022 Nëntor </v>
      </c>
      <c r="C41" s="203">
        <f t="shared" si="4"/>
        <v>0</v>
      </c>
      <c r="D41" s="198"/>
      <c r="E41" s="218"/>
      <c r="F41" s="203"/>
      <c r="G41" s="118"/>
      <c r="H41" s="204"/>
      <c r="I41" s="118"/>
      <c r="J41" s="119"/>
      <c r="K41" s="218"/>
      <c r="L41" s="103"/>
      <c r="M41" s="203"/>
    </row>
    <row r="42" spans="1:18" s="3" customFormat="1">
      <c r="B42" s="5" t="str">
        <f>IF(L!$A$1=1,L!B229,IF(L!$A$1=2,L!C229,L!D229))</f>
        <v>2022 Dhjetor</v>
      </c>
      <c r="C42" s="205">
        <f t="shared" si="4"/>
        <v>0</v>
      </c>
      <c r="D42" s="123"/>
      <c r="E42" s="205"/>
      <c r="F42" s="205"/>
      <c r="G42" s="220"/>
      <c r="H42" s="205"/>
      <c r="I42" s="205"/>
      <c r="J42" s="219"/>
      <c r="K42" s="205"/>
      <c r="L42" s="205"/>
      <c r="M42" s="205"/>
    </row>
    <row r="43" spans="1:18" s="3" customFormat="1">
      <c r="B43" s="226" t="str">
        <f>IF(L!$A$1=1,L!B230,IF(L!$A$1=2,L!C230,L!D230))</f>
        <v>Gjithsej 2022</v>
      </c>
      <c r="C43" s="227">
        <f>SUM(C31:C42)</f>
        <v>1816501.54</v>
      </c>
      <c r="D43" s="227">
        <f t="shared" ref="D43:L43" si="5">SUM(D31:D42)</f>
        <v>737747.07</v>
      </c>
      <c r="E43" s="227">
        <f t="shared" si="5"/>
        <v>349428.98</v>
      </c>
      <c r="F43" s="227">
        <f t="shared" si="5"/>
        <v>8359.4</v>
      </c>
      <c r="G43" s="227">
        <f t="shared" si="5"/>
        <v>51429.83</v>
      </c>
      <c r="H43" s="227">
        <f t="shared" si="5"/>
        <v>253071.8</v>
      </c>
      <c r="I43" s="227">
        <f t="shared" si="5"/>
        <v>64790</v>
      </c>
      <c r="J43" s="227">
        <f t="shared" si="5"/>
        <v>34216.5</v>
      </c>
      <c r="K43" s="227">
        <f t="shared" si="5"/>
        <v>60515.98</v>
      </c>
      <c r="L43" s="227">
        <f t="shared" si="5"/>
        <v>14434.98</v>
      </c>
      <c r="M43" s="227">
        <f>SUM(M31:M42)</f>
        <v>242507</v>
      </c>
      <c r="Q43" s="133"/>
    </row>
    <row r="44" spans="1:18" s="3" customFormat="1">
      <c r="D44" s="4"/>
      <c r="E44" s="4"/>
      <c r="F44" s="4"/>
      <c r="L44" s="135"/>
    </row>
    <row r="45" spans="1:18" s="3" customFormat="1">
      <c r="D45" s="4"/>
      <c r="E45" s="4"/>
      <c r="F45" s="4"/>
      <c r="J45" s="133"/>
    </row>
    <row r="46" spans="1:18" s="3" customFormat="1">
      <c r="C46" s="133"/>
      <c r="D46" s="4"/>
      <c r="E46" s="4"/>
      <c r="F46" s="4"/>
      <c r="J46" s="133"/>
    </row>
    <row r="47" spans="1:18" s="3" customFormat="1">
      <c r="D47" s="4"/>
      <c r="E47" s="4"/>
      <c r="F47" s="4"/>
      <c r="J47" s="133"/>
    </row>
    <row r="48" spans="1:18" s="3" customFormat="1">
      <c r="D48" s="4"/>
      <c r="E48" s="4"/>
      <c r="F48" s="4"/>
      <c r="J48" s="133"/>
    </row>
    <row r="49" spans="4:10" s="3" customFormat="1">
      <c r="D49" s="4"/>
      <c r="E49" s="4"/>
      <c r="F49" s="4"/>
      <c r="J49" s="133"/>
    </row>
    <row r="50" spans="4:10" s="3" customFormat="1">
      <c r="D50" s="4"/>
      <c r="E50" s="4"/>
      <c r="F50" s="4"/>
      <c r="J50" s="133"/>
    </row>
    <row r="51" spans="4:10" s="3" customFormat="1">
      <c r="D51" s="4"/>
      <c r="E51" s="4"/>
      <c r="F51" s="4"/>
      <c r="J51" s="133"/>
    </row>
    <row r="52" spans="4:10" s="3" customFormat="1">
      <c r="D52" s="4"/>
      <c r="E52" s="4"/>
      <c r="F52" s="4"/>
      <c r="J52" s="133"/>
    </row>
    <row r="53" spans="4:10" s="3" customFormat="1">
      <c r="D53" s="4"/>
      <c r="E53" s="4"/>
      <c r="F53" s="4"/>
      <c r="J53" s="133"/>
    </row>
    <row r="54" spans="4:10" s="3" customFormat="1">
      <c r="D54" s="4"/>
      <c r="E54" s="4"/>
      <c r="F54" s="4"/>
    </row>
    <row r="55" spans="4:10" s="3" customFormat="1">
      <c r="D55" s="4"/>
      <c r="E55" s="4"/>
      <c r="F55" s="4"/>
    </row>
    <row r="56" spans="4:10" s="3" customFormat="1">
      <c r="D56" s="4"/>
      <c r="E56" s="4"/>
      <c r="F56" s="4"/>
    </row>
    <row r="57" spans="4:10" s="3" customFormat="1">
      <c r="D57" s="4"/>
      <c r="E57" s="4"/>
      <c r="F57" s="4"/>
    </row>
    <row r="58" spans="4:10" s="3" customFormat="1">
      <c r="D58" s="4"/>
      <c r="E58" s="4"/>
      <c r="F58" s="4"/>
    </row>
    <row r="59" spans="4:10" s="3" customFormat="1">
      <c r="D59" s="4"/>
      <c r="E59" s="4"/>
      <c r="F59" s="4"/>
    </row>
    <row r="60" spans="4:10" s="3" customFormat="1">
      <c r="D60" s="4"/>
      <c r="E60" s="4"/>
      <c r="F60" s="4"/>
    </row>
    <row r="61" spans="4:10" s="3" customFormat="1">
      <c r="D61" s="4"/>
      <c r="E61" s="4"/>
      <c r="F61" s="4"/>
    </row>
    <row r="62" spans="4:10" s="3" customFormat="1">
      <c r="D62" s="4"/>
      <c r="E62" s="4"/>
      <c r="F62" s="4"/>
    </row>
    <row r="63" spans="4:10" s="3" customFormat="1">
      <c r="D63" s="4"/>
      <c r="E63" s="4"/>
      <c r="F63" s="4"/>
    </row>
    <row r="64" spans="4:10" s="3" customFormat="1">
      <c r="D64" s="4"/>
      <c r="E64" s="4"/>
      <c r="F64" s="4"/>
    </row>
    <row r="65" spans="4:6" s="3" customFormat="1">
      <c r="D65" s="4"/>
      <c r="E65" s="4"/>
      <c r="F65" s="4"/>
    </row>
    <row r="66" spans="4:6" s="3" customFormat="1">
      <c r="D66" s="4"/>
      <c r="E66" s="4"/>
      <c r="F66" s="4"/>
    </row>
    <row r="67" spans="4:6" s="3" customFormat="1">
      <c r="D67" s="4"/>
      <c r="E67" s="4"/>
      <c r="F67" s="4"/>
    </row>
    <row r="68" spans="4:6" s="3" customFormat="1">
      <c r="D68" s="4"/>
      <c r="E68" s="4"/>
      <c r="F68" s="4"/>
    </row>
    <row r="69" spans="4:6" s="3" customFormat="1">
      <c r="D69" s="4"/>
      <c r="E69" s="4"/>
      <c r="F69" s="4"/>
    </row>
    <row r="70" spans="4:6" s="3" customFormat="1">
      <c r="D70" s="4"/>
      <c r="E70" s="4"/>
      <c r="F70" s="4"/>
    </row>
    <row r="71" spans="4:6" s="3" customFormat="1">
      <c r="D71" s="4"/>
      <c r="E71" s="4"/>
      <c r="F71" s="4"/>
    </row>
    <row r="72" spans="4:6" s="3" customFormat="1">
      <c r="D72" s="4"/>
      <c r="E72" s="4"/>
      <c r="F72" s="4"/>
    </row>
    <row r="73" spans="4:6" s="3" customFormat="1">
      <c r="D73" s="4"/>
      <c r="E73" s="4"/>
      <c r="F73" s="4"/>
    </row>
    <row r="74" spans="4:6" s="3" customFormat="1">
      <c r="D74" s="4"/>
      <c r="E74" s="4"/>
      <c r="F74" s="4"/>
    </row>
    <row r="75" spans="4:6" s="3" customFormat="1">
      <c r="D75" s="4"/>
      <c r="E75" s="4"/>
      <c r="F75" s="4"/>
    </row>
    <row r="76" spans="4:6" s="3" customFormat="1">
      <c r="D76" s="4"/>
      <c r="E76" s="4"/>
      <c r="F76" s="4"/>
    </row>
    <row r="77" spans="4:6" s="3" customFormat="1">
      <c r="D77" s="4"/>
      <c r="E77" s="4"/>
      <c r="F77" s="4"/>
    </row>
    <row r="78" spans="4:6" s="3" customFormat="1">
      <c r="D78" s="4"/>
      <c r="E78" s="4"/>
      <c r="F78" s="4"/>
    </row>
    <row r="79" spans="4:6" s="3" customFormat="1">
      <c r="D79" s="4"/>
      <c r="E79" s="4"/>
      <c r="F79" s="4"/>
    </row>
    <row r="80" spans="4:6" s="3" customFormat="1">
      <c r="D80" s="4"/>
      <c r="E80" s="4"/>
      <c r="F80" s="4"/>
    </row>
    <row r="81" spans="4:6" s="3" customFormat="1">
      <c r="D81" s="4"/>
      <c r="E81" s="4"/>
      <c r="F81" s="4"/>
    </row>
    <row r="82" spans="4:6" s="3" customFormat="1">
      <c r="D82" s="4"/>
      <c r="E82" s="4"/>
      <c r="F82" s="4"/>
    </row>
    <row r="83" spans="4:6" s="3" customFormat="1">
      <c r="D83" s="4"/>
      <c r="E83" s="4"/>
      <c r="F83" s="4"/>
    </row>
    <row r="84" spans="4:6" s="3" customFormat="1">
      <c r="D84" s="4"/>
      <c r="E84" s="4"/>
      <c r="F84" s="4"/>
    </row>
    <row r="85" spans="4:6" s="3" customFormat="1">
      <c r="D85" s="4"/>
      <c r="E85" s="4"/>
      <c r="F85" s="4"/>
    </row>
    <row r="86" spans="4:6" s="3" customFormat="1">
      <c r="D86" s="4"/>
      <c r="E86" s="4"/>
      <c r="F86" s="4"/>
    </row>
    <row r="87" spans="4:6" s="3" customFormat="1">
      <c r="D87" s="4"/>
      <c r="E87" s="4"/>
      <c r="F87" s="4"/>
    </row>
    <row r="88" spans="4:6" s="3" customFormat="1">
      <c r="D88" s="4"/>
      <c r="E88" s="4"/>
      <c r="F88" s="4"/>
    </row>
    <row r="89" spans="4:6" s="3" customFormat="1">
      <c r="D89" s="4"/>
      <c r="E89" s="4"/>
      <c r="F89" s="4"/>
    </row>
    <row r="90" spans="4:6" s="3" customFormat="1">
      <c r="D90" s="4"/>
      <c r="E90" s="4"/>
      <c r="F90" s="4"/>
    </row>
    <row r="91" spans="4:6" s="3" customFormat="1">
      <c r="D91" s="4"/>
      <c r="E91" s="4"/>
      <c r="F91" s="4"/>
    </row>
    <row r="92" spans="4:6" s="3" customFormat="1">
      <c r="D92" s="4"/>
      <c r="E92" s="4"/>
      <c r="F92" s="4"/>
    </row>
    <row r="93" spans="4:6" s="3" customFormat="1">
      <c r="D93" s="4"/>
      <c r="E93" s="4"/>
      <c r="F93" s="4"/>
    </row>
    <row r="94" spans="4:6" s="3" customFormat="1">
      <c r="D94" s="4"/>
      <c r="E94" s="4"/>
      <c r="F94" s="4"/>
    </row>
    <row r="95" spans="4:6" s="3" customFormat="1">
      <c r="D95" s="4"/>
      <c r="E95" s="4"/>
      <c r="F95" s="4"/>
    </row>
    <row r="96" spans="4:6" s="3" customFormat="1">
      <c r="D96" s="4"/>
      <c r="E96" s="4"/>
      <c r="F96" s="4"/>
    </row>
    <row r="97" spans="4:6" s="3" customFormat="1">
      <c r="D97" s="4"/>
      <c r="E97" s="4"/>
      <c r="F97" s="4"/>
    </row>
    <row r="98" spans="4:6" s="3" customFormat="1">
      <c r="D98" s="4"/>
      <c r="E98" s="4"/>
      <c r="F98" s="4"/>
    </row>
    <row r="99" spans="4:6" s="3" customFormat="1">
      <c r="D99" s="4"/>
      <c r="E99" s="4"/>
      <c r="F99" s="4"/>
    </row>
    <row r="100" spans="4:6" s="3" customFormat="1">
      <c r="D100" s="4"/>
      <c r="E100" s="4"/>
      <c r="F100" s="4"/>
    </row>
    <row r="101" spans="4:6" s="3" customFormat="1">
      <c r="D101" s="4"/>
      <c r="E101" s="4"/>
      <c r="F101" s="4"/>
    </row>
    <row r="102" spans="4:6" s="3" customFormat="1">
      <c r="D102" s="4"/>
      <c r="E102" s="4"/>
      <c r="F102" s="4"/>
    </row>
    <row r="103" spans="4:6" s="3" customFormat="1">
      <c r="D103" s="4"/>
      <c r="E103" s="4"/>
      <c r="F103" s="4"/>
    </row>
    <row r="104" spans="4:6" s="3" customFormat="1">
      <c r="D104" s="4"/>
      <c r="E104" s="4"/>
      <c r="F104" s="4"/>
    </row>
    <row r="105" spans="4:6" s="3" customFormat="1">
      <c r="D105" s="4"/>
      <c r="E105" s="4"/>
      <c r="F105" s="4"/>
    </row>
    <row r="106" spans="4:6" s="3" customFormat="1">
      <c r="D106" s="4"/>
      <c r="E106" s="4"/>
      <c r="F106" s="4"/>
    </row>
    <row r="107" spans="4:6" s="3" customFormat="1">
      <c r="D107" s="4"/>
      <c r="E107" s="4"/>
      <c r="F107" s="4"/>
    </row>
    <row r="108" spans="4:6" s="3" customFormat="1">
      <c r="D108" s="4"/>
      <c r="E108" s="4"/>
      <c r="F108" s="4"/>
    </row>
    <row r="109" spans="4:6" s="3" customFormat="1">
      <c r="D109" s="4"/>
      <c r="E109" s="4"/>
      <c r="F109" s="4"/>
    </row>
    <row r="110" spans="4:6" s="3" customFormat="1">
      <c r="D110" s="4"/>
      <c r="E110" s="4"/>
      <c r="F110" s="4"/>
    </row>
    <row r="111" spans="4:6" s="3" customFormat="1">
      <c r="D111" s="4"/>
      <c r="E111" s="4"/>
      <c r="F111" s="4"/>
    </row>
    <row r="112" spans="4:6" s="3" customFormat="1">
      <c r="D112" s="4"/>
      <c r="E112" s="4"/>
      <c r="F112" s="4"/>
    </row>
    <row r="113" spans="4:6" s="3" customFormat="1">
      <c r="D113" s="4"/>
      <c r="E113" s="4"/>
      <c r="F113" s="4"/>
    </row>
    <row r="114" spans="4:6" s="3" customFormat="1">
      <c r="D114" s="4"/>
      <c r="E114" s="4"/>
      <c r="F114" s="4"/>
    </row>
    <row r="115" spans="4:6" s="3" customFormat="1">
      <c r="D115" s="4"/>
      <c r="E115" s="4"/>
      <c r="F115" s="4"/>
    </row>
    <row r="116" spans="4:6" s="3" customFormat="1">
      <c r="D116" s="4"/>
      <c r="E116" s="4"/>
      <c r="F116" s="4"/>
    </row>
    <row r="117" spans="4:6" s="3" customFormat="1">
      <c r="D117" s="4"/>
      <c r="E117" s="4"/>
      <c r="F117" s="4"/>
    </row>
    <row r="118" spans="4:6" s="3" customFormat="1">
      <c r="D118" s="4"/>
      <c r="E118" s="4"/>
      <c r="F118" s="4"/>
    </row>
    <row r="119" spans="4:6" s="3" customFormat="1">
      <c r="D119" s="4"/>
      <c r="E119" s="4"/>
      <c r="F119" s="4"/>
    </row>
    <row r="120" spans="4:6" s="3" customFormat="1">
      <c r="D120" s="4"/>
      <c r="E120" s="4"/>
      <c r="F120" s="4"/>
    </row>
    <row r="121" spans="4:6" s="3" customFormat="1">
      <c r="D121" s="4"/>
      <c r="E121" s="4"/>
      <c r="F121" s="4"/>
    </row>
    <row r="122" spans="4:6" s="3" customFormat="1">
      <c r="D122" s="4"/>
      <c r="E122" s="4"/>
      <c r="F122" s="4"/>
    </row>
    <row r="123" spans="4:6" s="3" customFormat="1">
      <c r="D123" s="4"/>
      <c r="E123" s="4"/>
      <c r="F123" s="4"/>
    </row>
    <row r="124" spans="4:6" s="3" customFormat="1">
      <c r="D124" s="4"/>
      <c r="E124" s="4"/>
      <c r="F124" s="4"/>
    </row>
    <row r="125" spans="4:6" s="3" customFormat="1">
      <c r="D125" s="4"/>
      <c r="E125" s="4"/>
      <c r="F125" s="4"/>
    </row>
    <row r="126" spans="4:6" s="3" customFormat="1">
      <c r="D126" s="4"/>
      <c r="E126" s="4"/>
      <c r="F126" s="4"/>
    </row>
    <row r="127" spans="4:6" s="3" customFormat="1">
      <c r="D127" s="4"/>
      <c r="E127" s="4"/>
      <c r="F127" s="4"/>
    </row>
    <row r="128" spans="4:6" s="3" customFormat="1">
      <c r="D128" s="4"/>
      <c r="E128" s="4"/>
      <c r="F128" s="4"/>
    </row>
    <row r="129" spans="4:18" s="3" customFormat="1">
      <c r="D129" s="4"/>
      <c r="E129" s="4"/>
      <c r="F129" s="4"/>
    </row>
    <row r="130" spans="4:18" s="3" customFormat="1">
      <c r="D130" s="4"/>
      <c r="E130" s="4"/>
      <c r="F130" s="4"/>
    </row>
    <row r="131" spans="4:18" s="3" customFormat="1">
      <c r="D131" s="4"/>
      <c r="E131" s="4"/>
      <c r="F131" s="4"/>
    </row>
    <row r="132" spans="4:18" s="3" customFormat="1">
      <c r="D132" s="4"/>
      <c r="E132" s="4"/>
      <c r="F132" s="4"/>
    </row>
    <row r="133" spans="4:18" s="3" customFormat="1">
      <c r="D133" s="4"/>
      <c r="E133" s="4"/>
      <c r="F133" s="4"/>
    </row>
    <row r="134" spans="4:18" s="3" customFormat="1">
      <c r="D134" s="4"/>
      <c r="E134" s="4"/>
      <c r="F134" s="4"/>
    </row>
    <row r="135" spans="4:18" s="3" customFormat="1">
      <c r="D135" s="4"/>
      <c r="E135" s="4"/>
      <c r="F135" s="4"/>
    </row>
    <row r="136" spans="4:18" s="3" customFormat="1">
      <c r="D136" s="4"/>
      <c r="E136" s="4"/>
      <c r="F136" s="4"/>
    </row>
    <row r="137" spans="4:18" s="3" customFormat="1">
      <c r="D137" s="4"/>
      <c r="E137" s="4"/>
      <c r="F137" s="4"/>
    </row>
    <row r="138" spans="4:18" s="3" customFormat="1">
      <c r="D138" s="4"/>
      <c r="E138" s="4"/>
      <c r="F138" s="4"/>
    </row>
    <row r="139" spans="4:18" s="3" customFormat="1">
      <c r="D139" s="4"/>
      <c r="E139" s="4"/>
      <c r="F139" s="4"/>
    </row>
    <row r="140" spans="4:18" s="3" customFormat="1">
      <c r="D140" s="4"/>
      <c r="E140" s="4"/>
      <c r="F140" s="4"/>
    </row>
    <row r="141" spans="4:18" s="3" customFormat="1">
      <c r="D141" s="4"/>
      <c r="E141" s="4"/>
      <c r="F141" s="4"/>
    </row>
    <row r="142" spans="4:18" s="3" customFormat="1">
      <c r="D142" s="4"/>
      <c r="E142" s="4"/>
      <c r="F142" s="4"/>
      <c r="N142" s="1"/>
      <c r="O142" s="1"/>
      <c r="P142" s="1"/>
      <c r="Q142" s="1"/>
      <c r="R142" s="1"/>
    </row>
  </sheetData>
  <mergeCells count="2">
    <mergeCell ref="A19:A31"/>
    <mergeCell ref="A5:A17"/>
  </mergeCells>
  <pageMargins left="0.25" right="0.25" top="0.75" bottom="0.75" header="0.3" footer="0.3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4</xdr:col>
                    <xdr:colOff>85725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workbookViewId="0">
      <selection activeCell="B7" sqref="B7:G16"/>
    </sheetView>
  </sheetViews>
  <sheetFormatPr defaultRowHeight="15"/>
  <cols>
    <col min="3" max="3" width="12.140625" customWidth="1"/>
    <col min="4" max="4" width="13.42578125" customWidth="1"/>
    <col min="5" max="5" width="15.5703125" customWidth="1"/>
    <col min="6" max="6" width="12.7109375" customWidth="1"/>
  </cols>
  <sheetData>
    <row r="6" spans="2:8">
      <c r="B6" s="71"/>
      <c r="C6" s="181"/>
      <c r="E6" s="92"/>
      <c r="F6" s="92"/>
      <c r="G6" s="181"/>
      <c r="H6" s="181"/>
    </row>
    <row r="7" spans="2:8">
      <c r="H7" s="181"/>
    </row>
    <row r="8" spans="2:8">
      <c r="H8" s="181"/>
    </row>
    <row r="9" spans="2:8">
      <c r="H9" s="92"/>
    </row>
    <row r="10" spans="2:8">
      <c r="H10" s="92"/>
    </row>
    <row r="11" spans="2:8">
      <c r="H11" s="71"/>
    </row>
    <row r="12" spans="2:8">
      <c r="H12" s="71"/>
    </row>
    <row r="13" spans="2:8">
      <c r="H13" s="71"/>
    </row>
    <row r="14" spans="2:8">
      <c r="H14" s="71"/>
    </row>
    <row r="15" spans="2:8">
      <c r="H15" s="71"/>
    </row>
    <row r="16" spans="2:8">
      <c r="H16" s="71"/>
    </row>
    <row r="17" spans="2:8">
      <c r="B17" s="71"/>
      <c r="C17" s="71"/>
      <c r="D17" s="91"/>
      <c r="E17" s="71"/>
      <c r="F17" s="71"/>
      <c r="G17" s="71"/>
      <c r="H17" s="71"/>
    </row>
    <row r="18" spans="2:8">
      <c r="B18" s="71"/>
      <c r="C18" s="71"/>
      <c r="D18" s="91"/>
      <c r="E18" s="71"/>
      <c r="F18" s="71"/>
      <c r="G18" s="71"/>
      <c r="H18" s="7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PAGESAT</vt:lpstr>
      <vt:lpstr>PRANIMET</vt:lpstr>
      <vt:lpstr>L</vt:lpstr>
      <vt:lpstr>Sheet1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2021-12-09T08:29:01Z</cp:lastPrinted>
  <dcterms:created xsi:type="dcterms:W3CDTF">2015-03-12T08:53:45Z</dcterms:created>
  <dcterms:modified xsi:type="dcterms:W3CDTF">2022-05-18T09:13:10Z</dcterms:modified>
</cp:coreProperties>
</file>