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it.abiti\Desktop\Dokumentet e mia\GAZI\"/>
    </mc:Choice>
  </mc:AlternateContent>
  <bookViews>
    <workbookView xWindow="0" yWindow="240" windowWidth="19200" windowHeight="634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Y125" i="6" l="1"/>
  <c r="Q123" i="6" l="1"/>
  <c r="P123" i="6"/>
  <c r="O123" i="6"/>
  <c r="N123" i="6"/>
  <c r="P133" i="12"/>
  <c r="N133" i="12"/>
  <c r="M133" i="12"/>
  <c r="K133" i="12"/>
  <c r="J133" i="12"/>
  <c r="I133" i="12"/>
  <c r="H133" i="12"/>
  <c r="G133" i="12"/>
  <c r="C132" i="12"/>
  <c r="C131" i="12"/>
  <c r="C130" i="12"/>
  <c r="C129" i="12"/>
  <c r="L133" i="12"/>
  <c r="C128" i="12"/>
  <c r="C127" i="12"/>
  <c r="C126" i="12"/>
  <c r="C125" i="12"/>
  <c r="C124" i="12"/>
  <c r="C123" i="12"/>
  <c r="C122" i="12"/>
  <c r="O133" i="12"/>
  <c r="C121" i="12"/>
  <c r="AD135" i="6"/>
  <c r="AC135" i="6"/>
  <c r="AB135" i="6"/>
  <c r="AA135" i="6"/>
  <c r="Z135" i="6"/>
  <c r="X135" i="6"/>
  <c r="W135" i="6"/>
  <c r="V135" i="6"/>
  <c r="U135" i="6"/>
  <c r="T135" i="6"/>
  <c r="L135" i="6"/>
  <c r="J135" i="6"/>
  <c r="H135" i="6"/>
  <c r="F135" i="6"/>
  <c r="Y134" i="6"/>
  <c r="S134" i="6"/>
  <c r="M134" i="6"/>
  <c r="Y133" i="6"/>
  <c r="S133" i="6"/>
  <c r="Y132" i="6"/>
  <c r="S132" i="6"/>
  <c r="Y131" i="6"/>
  <c r="S131" i="6"/>
  <c r="M131" i="6"/>
  <c r="Y130" i="6"/>
  <c r="S130" i="6"/>
  <c r="I130" i="6"/>
  <c r="E130" i="6" s="1"/>
  <c r="Y129" i="6"/>
  <c r="S129" i="6"/>
  <c r="I129" i="6"/>
  <c r="E129" i="6" s="1"/>
  <c r="Y128" i="6"/>
  <c r="S128" i="6"/>
  <c r="M128" i="6"/>
  <c r="I128" i="6"/>
  <c r="E128" i="6" s="1"/>
  <c r="Y127" i="6"/>
  <c r="S127" i="6"/>
  <c r="M127" i="6"/>
  <c r="K127" i="6"/>
  <c r="I127" i="6" s="1"/>
  <c r="E127" i="6" s="1"/>
  <c r="Y126" i="6"/>
  <c r="S126" i="6"/>
  <c r="K126" i="6"/>
  <c r="S125" i="6"/>
  <c r="I125" i="6"/>
  <c r="G125" i="6"/>
  <c r="G135" i="6" s="1"/>
  <c r="Y124" i="6"/>
  <c r="S124" i="6"/>
  <c r="I124" i="6"/>
  <c r="E124" i="6"/>
  <c r="Y123" i="6"/>
  <c r="S123" i="6"/>
  <c r="I123" i="6"/>
  <c r="E123" i="6" s="1"/>
  <c r="K135" i="6" l="1"/>
  <c r="I126" i="6"/>
  <c r="E126" i="6" s="1"/>
  <c r="C127" i="6"/>
  <c r="F133" i="12"/>
  <c r="E133" i="12" s="1"/>
  <c r="D133" i="12" s="1"/>
  <c r="C133" i="12"/>
  <c r="E125" i="6"/>
  <c r="D128" i="6"/>
  <c r="Y135" i="6"/>
  <c r="S135" i="6"/>
  <c r="O135" i="6"/>
  <c r="M126" i="6"/>
  <c r="C126" i="6" s="1"/>
  <c r="C134" i="6"/>
  <c r="M130" i="6"/>
  <c r="C130" i="6" s="1"/>
  <c r="M125" i="6"/>
  <c r="C125" i="6" s="1"/>
  <c r="M133" i="6"/>
  <c r="C133" i="6" s="1"/>
  <c r="M124" i="6"/>
  <c r="C124" i="6" s="1"/>
  <c r="M132" i="6"/>
  <c r="C132" i="6" s="1"/>
  <c r="M129" i="6"/>
  <c r="C129" i="6" s="1"/>
  <c r="C131" i="6"/>
  <c r="M123" i="6"/>
  <c r="Q135" i="6"/>
  <c r="R135" i="6"/>
  <c r="D127" i="6"/>
  <c r="N135" i="6"/>
  <c r="P135" i="6"/>
  <c r="C128" i="6"/>
  <c r="R121" i="6"/>
  <c r="Q121" i="6"/>
  <c r="P121" i="6"/>
  <c r="O121" i="6"/>
  <c r="N121" i="6"/>
  <c r="R120" i="6"/>
  <c r="Q120" i="6"/>
  <c r="P120" i="6"/>
  <c r="O120" i="6"/>
  <c r="N120" i="6"/>
  <c r="I135" i="6" l="1"/>
  <c r="E135" i="6" s="1"/>
  <c r="D126" i="6"/>
  <c r="M135" i="6"/>
  <c r="C135" i="6" s="1"/>
  <c r="D130" i="6"/>
  <c r="D125" i="6"/>
  <c r="D124" i="6"/>
  <c r="D129" i="6"/>
  <c r="C123" i="6"/>
  <c r="D123" i="6"/>
  <c r="R119" i="6"/>
  <c r="Q119" i="6"/>
  <c r="P119" i="6"/>
  <c r="R118" i="6"/>
  <c r="Q118" i="6"/>
  <c r="P118" i="6"/>
  <c r="O118" i="6"/>
  <c r="O119" i="6"/>
  <c r="N119" i="6"/>
  <c r="N118" i="6"/>
  <c r="D135" i="6" l="1"/>
  <c r="R117" i="6"/>
  <c r="R116" i="6"/>
  <c r="Q117" i="6"/>
  <c r="Q116" i="6"/>
  <c r="P117" i="6"/>
  <c r="P116" i="6"/>
  <c r="O117" i="6"/>
  <c r="O116" i="6"/>
  <c r="N116" i="6"/>
  <c r="Q115" i="6"/>
  <c r="P115" i="6"/>
  <c r="O115" i="6"/>
  <c r="N117" i="6"/>
  <c r="N115" i="6"/>
  <c r="C109" i="12" l="1"/>
  <c r="C110" i="12"/>
  <c r="C111" i="12"/>
  <c r="C112" i="12"/>
  <c r="C113" i="12"/>
  <c r="C114" i="12"/>
  <c r="C115" i="12"/>
  <c r="C116" i="12"/>
  <c r="C117" i="12"/>
  <c r="C118" i="12"/>
  <c r="C119" i="12"/>
  <c r="C108" i="12"/>
  <c r="O113" i="6" l="1"/>
  <c r="Q114" i="6"/>
  <c r="Q113" i="6"/>
  <c r="Q112" i="6"/>
  <c r="Q111" i="6"/>
  <c r="P114" i="6"/>
  <c r="P113" i="6"/>
  <c r="P112" i="6"/>
  <c r="P111" i="6"/>
  <c r="O114" i="6"/>
  <c r="O112" i="6"/>
  <c r="O111" i="6"/>
  <c r="O110" i="6"/>
  <c r="N110" i="6"/>
  <c r="N114" i="6"/>
  <c r="N113" i="6"/>
  <c r="N112" i="6"/>
  <c r="N111" i="6"/>
  <c r="AD122" i="6" l="1"/>
  <c r="AC122" i="6"/>
  <c r="AB122" i="6"/>
  <c r="AA122" i="6"/>
  <c r="Z122" i="6"/>
  <c r="X122" i="6"/>
  <c r="W122" i="6"/>
  <c r="V122" i="6"/>
  <c r="U122" i="6"/>
  <c r="T122" i="6"/>
  <c r="L122" i="6"/>
  <c r="J122" i="6"/>
  <c r="H122" i="6"/>
  <c r="F122" i="6"/>
  <c r="B122" i="6"/>
  <c r="Y121" i="6"/>
  <c r="S121" i="6"/>
  <c r="M121" i="6"/>
  <c r="B121" i="6"/>
  <c r="Y120" i="6"/>
  <c r="S120" i="6"/>
  <c r="M120" i="6"/>
  <c r="B120" i="6"/>
  <c r="Y119" i="6"/>
  <c r="S119" i="6"/>
  <c r="B119" i="6"/>
  <c r="Y118" i="6"/>
  <c r="S118" i="6"/>
  <c r="B118" i="6"/>
  <c r="Y117" i="6"/>
  <c r="S117" i="6"/>
  <c r="I117" i="6"/>
  <c r="E117" i="6" s="1"/>
  <c r="B117" i="6"/>
  <c r="Y116" i="6"/>
  <c r="S116" i="6"/>
  <c r="I116" i="6"/>
  <c r="E116" i="6" s="1"/>
  <c r="B116" i="6"/>
  <c r="Y115" i="6"/>
  <c r="S115" i="6"/>
  <c r="M115" i="6"/>
  <c r="I115" i="6"/>
  <c r="E115" i="6" s="1"/>
  <c r="B115" i="6"/>
  <c r="Y114" i="6"/>
  <c r="S114" i="6"/>
  <c r="K114" i="6"/>
  <c r="I114" i="6" s="1"/>
  <c r="E114" i="6" s="1"/>
  <c r="B114" i="6"/>
  <c r="Y113" i="6"/>
  <c r="S113" i="6"/>
  <c r="M113" i="6"/>
  <c r="K113" i="6"/>
  <c r="I113" i="6" s="1"/>
  <c r="E113" i="6" s="1"/>
  <c r="B113" i="6"/>
  <c r="Y112" i="6"/>
  <c r="S112" i="6"/>
  <c r="M112" i="6"/>
  <c r="I112" i="6"/>
  <c r="G112" i="6"/>
  <c r="G122" i="6" s="1"/>
  <c r="B112" i="6"/>
  <c r="Y111" i="6"/>
  <c r="S111" i="6"/>
  <c r="I111" i="6"/>
  <c r="E111" i="6" s="1"/>
  <c r="B111" i="6"/>
  <c r="Y110" i="6"/>
  <c r="S110" i="6"/>
  <c r="M110" i="6"/>
  <c r="I110" i="6"/>
  <c r="E110" i="6" s="1"/>
  <c r="B110" i="6"/>
  <c r="P120" i="12"/>
  <c r="N120" i="12"/>
  <c r="M120" i="12"/>
  <c r="K120" i="12"/>
  <c r="J120" i="12"/>
  <c r="I120" i="12"/>
  <c r="H120" i="12"/>
  <c r="G120" i="12"/>
  <c r="B120" i="12"/>
  <c r="B119" i="12"/>
  <c r="O120" i="12"/>
  <c r="B118" i="12"/>
  <c r="B117" i="12"/>
  <c r="B116" i="12"/>
  <c r="B115" i="12"/>
  <c r="B114" i="12"/>
  <c r="B113" i="12"/>
  <c r="B112" i="12"/>
  <c r="B111" i="12"/>
  <c r="B110" i="12"/>
  <c r="B109" i="12"/>
  <c r="B108" i="12"/>
  <c r="E112" i="6" l="1"/>
  <c r="D112" i="6" s="1"/>
  <c r="K122" i="6"/>
  <c r="D115" i="6"/>
  <c r="F120" i="12"/>
  <c r="E120" i="12" s="1"/>
  <c r="D120" i="12" s="1"/>
  <c r="Y122" i="6"/>
  <c r="S122" i="6"/>
  <c r="C113" i="6"/>
  <c r="C121" i="6"/>
  <c r="M117" i="6"/>
  <c r="D117" i="6" s="1"/>
  <c r="M114" i="6"/>
  <c r="C114" i="6" s="1"/>
  <c r="C120" i="6"/>
  <c r="D113" i="6"/>
  <c r="C112" i="6"/>
  <c r="P122" i="6"/>
  <c r="Q122" i="6"/>
  <c r="M116" i="6"/>
  <c r="D116" i="6" s="1"/>
  <c r="C115" i="6"/>
  <c r="M111" i="6"/>
  <c r="C111" i="6" s="1"/>
  <c r="M118" i="6"/>
  <c r="C118" i="6" s="1"/>
  <c r="R122" i="6"/>
  <c r="M119" i="6"/>
  <c r="C119" i="6" s="1"/>
  <c r="C110" i="6"/>
  <c r="D110" i="6"/>
  <c r="I122" i="6"/>
  <c r="E122" i="6" s="1"/>
  <c r="N122" i="6"/>
  <c r="O122" i="6"/>
  <c r="C120" i="12"/>
  <c r="L120" i="12"/>
  <c r="O106" i="12"/>
  <c r="L106" i="12"/>
  <c r="D111" i="6" l="1"/>
  <c r="D114" i="6"/>
  <c r="C117" i="6"/>
  <c r="C116" i="6"/>
  <c r="M122" i="6"/>
  <c r="C122" i="6" s="1"/>
  <c r="Y107" i="6"/>
  <c r="D122" i="6" l="1"/>
  <c r="O105" i="12"/>
  <c r="L105" i="12"/>
  <c r="L104" i="12" l="1"/>
  <c r="L103" i="12"/>
  <c r="L102" i="12"/>
  <c r="L101" i="12"/>
  <c r="L100" i="12"/>
  <c r="L99" i="12"/>
  <c r="L98" i="12"/>
  <c r="L97" i="12"/>
  <c r="L96" i="12"/>
  <c r="L95" i="12"/>
  <c r="N103" i="6" l="1"/>
  <c r="R106" i="6"/>
  <c r="R105" i="6"/>
  <c r="R104" i="6"/>
  <c r="R102" i="6"/>
  <c r="Q106" i="6"/>
  <c r="Q105" i="6"/>
  <c r="Q104" i="6"/>
  <c r="Q103" i="6"/>
  <c r="Q102" i="6"/>
  <c r="Q101" i="6"/>
  <c r="Q100" i="6"/>
  <c r="Q99" i="6"/>
  <c r="Q98" i="6"/>
  <c r="P106" i="6"/>
  <c r="P105" i="6"/>
  <c r="P104" i="6"/>
  <c r="P103" i="6"/>
  <c r="P102" i="6"/>
  <c r="P101" i="6"/>
  <c r="P100" i="6"/>
  <c r="P99" i="6"/>
  <c r="P98" i="6"/>
  <c r="O106" i="6"/>
  <c r="O105" i="6"/>
  <c r="O104" i="6"/>
  <c r="O103" i="6"/>
  <c r="O102" i="6"/>
  <c r="O101" i="6"/>
  <c r="O100" i="6"/>
  <c r="O99" i="6"/>
  <c r="O98" i="6"/>
  <c r="N106" i="6"/>
  <c r="N105" i="6"/>
  <c r="N102" i="6"/>
  <c r="N101" i="6"/>
  <c r="N100" i="6"/>
  <c r="N99" i="6"/>
  <c r="N98" i="6"/>
  <c r="N97" i="6"/>
  <c r="Y98" i="6"/>
  <c r="Y99" i="6"/>
  <c r="Y100" i="6"/>
  <c r="Y101" i="6"/>
  <c r="Y102" i="6"/>
  <c r="Y103" i="6"/>
  <c r="Y104" i="6"/>
  <c r="Y105" i="6"/>
  <c r="Y106" i="6"/>
  <c r="P107" i="12" l="1"/>
  <c r="N107" i="12"/>
  <c r="M107" i="12"/>
  <c r="L107" i="12"/>
  <c r="K107" i="12"/>
  <c r="J107" i="12"/>
  <c r="I107" i="12"/>
  <c r="H107" i="12"/>
  <c r="G107" i="12"/>
  <c r="B107" i="12"/>
  <c r="C106" i="12"/>
  <c r="B106" i="12"/>
  <c r="C105" i="12"/>
  <c r="B105" i="12"/>
  <c r="C104" i="12"/>
  <c r="B104" i="12"/>
  <c r="C103" i="12"/>
  <c r="B103" i="12"/>
  <c r="F102" i="12"/>
  <c r="E102" i="12"/>
  <c r="D102" i="12" s="1"/>
  <c r="C102" i="12"/>
  <c r="B102" i="12"/>
  <c r="F101" i="12"/>
  <c r="E101" i="12" s="1"/>
  <c r="D101" i="12" s="1"/>
  <c r="C101" i="12"/>
  <c r="B101" i="12"/>
  <c r="C100" i="12"/>
  <c r="F100" i="12"/>
  <c r="E100" i="12" s="1"/>
  <c r="D100" i="12" s="1"/>
  <c r="B100" i="12"/>
  <c r="C99" i="12"/>
  <c r="F99" i="12"/>
  <c r="E99" i="12" s="1"/>
  <c r="D99" i="12" s="1"/>
  <c r="B99" i="12"/>
  <c r="F98" i="12"/>
  <c r="E98" i="12" s="1"/>
  <c r="D98" i="12" s="1"/>
  <c r="C98" i="12"/>
  <c r="B98" i="12"/>
  <c r="F97" i="12"/>
  <c r="E97" i="12" s="1"/>
  <c r="D97" i="12" s="1"/>
  <c r="C97" i="12"/>
  <c r="B97" i="12"/>
  <c r="F96" i="12"/>
  <c r="E96" i="12" s="1"/>
  <c r="D96" i="12" s="1"/>
  <c r="C96" i="12"/>
  <c r="B96" i="12"/>
  <c r="F95" i="12"/>
  <c r="E95" i="12" s="1"/>
  <c r="D95" i="12" s="1"/>
  <c r="C95" i="12"/>
  <c r="B95" i="12"/>
  <c r="AD109" i="6"/>
  <c r="AC109" i="6"/>
  <c r="AB109" i="6"/>
  <c r="AA109" i="6"/>
  <c r="Z109" i="6"/>
  <c r="X109" i="6"/>
  <c r="W109" i="6"/>
  <c r="V109" i="6"/>
  <c r="U109" i="6"/>
  <c r="T109" i="6"/>
  <c r="L109" i="6"/>
  <c r="J109" i="6"/>
  <c r="H109" i="6"/>
  <c r="F109" i="6"/>
  <c r="B109" i="6"/>
  <c r="Y108" i="6"/>
  <c r="S108" i="6"/>
  <c r="M108" i="6"/>
  <c r="B108" i="6"/>
  <c r="S107" i="6"/>
  <c r="M107" i="6"/>
  <c r="B107" i="6"/>
  <c r="S106" i="6"/>
  <c r="M106" i="6"/>
  <c r="B106" i="6"/>
  <c r="S105" i="6"/>
  <c r="M105" i="6"/>
  <c r="B105" i="6"/>
  <c r="S104" i="6"/>
  <c r="I104" i="6"/>
  <c r="E104" i="6"/>
  <c r="B104" i="6"/>
  <c r="S103" i="6"/>
  <c r="I103" i="6"/>
  <c r="E103" i="6"/>
  <c r="B103" i="6"/>
  <c r="S102" i="6"/>
  <c r="M102" i="6"/>
  <c r="I102" i="6"/>
  <c r="E102" i="6" s="1"/>
  <c r="B102" i="6"/>
  <c r="S101" i="6"/>
  <c r="M101" i="6"/>
  <c r="K101" i="6"/>
  <c r="I101" i="6" s="1"/>
  <c r="E101" i="6" s="1"/>
  <c r="B101" i="6"/>
  <c r="S100" i="6"/>
  <c r="K100" i="6"/>
  <c r="I100" i="6"/>
  <c r="E100" i="6" s="1"/>
  <c r="B100" i="6"/>
  <c r="S99" i="6"/>
  <c r="I99" i="6"/>
  <c r="G99" i="6"/>
  <c r="G109" i="6" s="1"/>
  <c r="B99" i="6"/>
  <c r="S98" i="6"/>
  <c r="I98" i="6"/>
  <c r="E98" i="6" s="1"/>
  <c r="B98" i="6"/>
  <c r="Y97" i="6"/>
  <c r="S97" i="6"/>
  <c r="M97" i="6"/>
  <c r="I97" i="6"/>
  <c r="E97" i="6" s="1"/>
  <c r="B97" i="6"/>
  <c r="E99" i="6" l="1"/>
  <c r="K109" i="6"/>
  <c r="C97" i="6"/>
  <c r="Y109" i="6"/>
  <c r="C108" i="6"/>
  <c r="D97" i="6"/>
  <c r="S109" i="6"/>
  <c r="F107" i="12"/>
  <c r="E107" i="12" s="1"/>
  <c r="D107" i="12" s="1"/>
  <c r="C107" i="12"/>
  <c r="O107" i="12"/>
  <c r="C106" i="6"/>
  <c r="C107" i="6"/>
  <c r="O109" i="6"/>
  <c r="C101" i="6"/>
  <c r="P109" i="6"/>
  <c r="M98" i="6"/>
  <c r="C98" i="6" s="1"/>
  <c r="M103" i="6"/>
  <c r="C103" i="6" s="1"/>
  <c r="Q109" i="6"/>
  <c r="R109" i="6"/>
  <c r="N109" i="6"/>
  <c r="M100" i="6"/>
  <c r="D100" i="6" s="1"/>
  <c r="M99" i="6"/>
  <c r="C99" i="6" s="1"/>
  <c r="C105" i="6"/>
  <c r="D101" i="6"/>
  <c r="M104" i="6"/>
  <c r="C104" i="6" s="1"/>
  <c r="C102" i="6"/>
  <c r="D102" i="6"/>
  <c r="I109" i="6"/>
  <c r="E109" i="6" s="1"/>
  <c r="C91" i="12"/>
  <c r="D98" i="6" l="1"/>
  <c r="D99" i="6"/>
  <c r="M109" i="6"/>
  <c r="C109" i="6" s="1"/>
  <c r="C100" i="6"/>
  <c r="D103" i="6"/>
  <c r="D104" i="6"/>
  <c r="R92" i="6"/>
  <c r="Q92" i="6"/>
  <c r="P92" i="6"/>
  <c r="O92" i="6"/>
  <c r="N92" i="6"/>
  <c r="D109" i="6" l="1"/>
  <c r="R91" i="6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 s="1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 s="1"/>
  <c r="E87" i="6" s="1"/>
  <c r="B87" i="6"/>
  <c r="Y86" i="6"/>
  <c r="S86" i="6"/>
  <c r="I86" i="6"/>
  <c r="G86" i="6"/>
  <c r="G96" i="6" s="1"/>
  <c r="B86" i="6"/>
  <c r="Y85" i="6"/>
  <c r="S85" i="6"/>
  <c r="I85" i="6"/>
  <c r="E85" i="6" s="1"/>
  <c r="B85" i="6"/>
  <c r="Y84" i="6"/>
  <c r="S84" i="6"/>
  <c r="M84" i="6"/>
  <c r="I84" i="6"/>
  <c r="B84" i="6"/>
  <c r="K96" i="6" l="1"/>
  <c r="E86" i="6"/>
  <c r="I96" i="6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 s="1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K5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</calcChain>
</file>

<file path=xl/sharedStrings.xml><?xml version="1.0" encoding="utf-8"?>
<sst xmlns="http://schemas.openxmlformats.org/spreadsheetml/2006/main" count="978" uniqueCount="891">
  <si>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</si>
  <si>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</si>
  <si>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</si>
  <si>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</si>
  <si>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</si>
  <si>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</si>
  <si>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</si>
  <si>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</si>
  <si>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</si>
  <si>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</si>
  <si>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</si>
  <si>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</si>
  <si>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</si>
  <si>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</si>
  <si>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</si>
  <si>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</si>
  <si>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</si>
  <si>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</si>
  <si>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</si>
  <si>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</si>
  <si>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</si>
  <si>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</si>
  <si>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</si>
  <si>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</si>
  <si>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</si>
  <si>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</si>
  <si>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</si>
  <si>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</si>
  <si>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</si>
  <si>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</si>
  <si>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</si>
  <si>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</si>
  <si>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</si>
  <si>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</si>
  <si>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</si>
  <si>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</si>
  <si>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</si>
  <si>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</si>
  <si>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</si>
  <si>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</si>
  <si>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</si>
  <si>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</si>
  <si>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</si>
  <si>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</si>
  <si>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</si>
  <si>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</si>
  <si>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</si>
  <si>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</si>
  <si>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</si>
  <si>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</si>
  <si>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</si>
  <si>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</si>
  <si>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</si>
  <si>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</si>
  <si>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</si>
  <si>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</si>
  <si>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</si>
  <si>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</si>
  <si>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</si>
  <si>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</si>
  <si>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</si>
  <si>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</si>
  <si>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</si>
  <si>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</si>
  <si>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</si>
  <si>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</si>
  <si>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</si>
  <si>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</si>
  <si>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</si>
  <si>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</si>
  <si>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</si>
  <si>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</si>
  <si>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</si>
  <si>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</si>
  <si>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</si>
  <si>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</si>
  <si>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</si>
  <si>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</si>
  <si>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</si>
  <si>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</si>
  <si>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</si>
  <si>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</si>
  <si>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</si>
  <si>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</si>
  <si>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</si>
  <si>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</si>
  <si>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</si>
  <si>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</si>
  <si>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</si>
  <si>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</si>
  <si>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</si>
  <si>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</si>
  <si>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</si>
  <si>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</si>
  <si>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</si>
  <si>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</si>
  <si>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</si>
  <si>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</si>
  <si>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</si>
  <si>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</si>
  <si>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</si>
  <si>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</si>
  <si>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</si>
  <si>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</si>
  <si>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</si>
  <si>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</si>
  <si>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</si>
  <si>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</si>
  <si>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</si>
  <si>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</si>
  <si>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</si>
  <si>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</si>
  <si>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</si>
  <si>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</si>
  <si>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</si>
  <si>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</si>
  <si>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</si>
  <si>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</si>
  <si>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</si>
  <si>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</si>
  <si>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</si>
  <si>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</si>
  <si>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</si>
  <si>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</si>
  <si>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</si>
  <si>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</si>
  <si>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</si>
  <si>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</si>
  <si>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</si>
  <si>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</si>
  <si>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</si>
  <si>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</si>
  <si>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</si>
  <si>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</si>
  <si>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</si>
  <si>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</si>
  <si>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</si>
  <si>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</si>
  <si>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</si>
  <si>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</si>
  <si>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</si>
  <si>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</si>
  <si>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</si>
  <si>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</si>
  <si>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</si>
  <si>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</si>
  <si>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</si>
  <si>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</si>
  <si>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</si>
  <si>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</si>
  <si>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</si>
  <si>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</si>
  <si>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</si>
  <si>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</si>
  <si>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</si>
  <si>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</si>
  <si>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</si>
  <si>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</si>
  <si>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</si>
  <si>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</si>
  <si>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</si>
  <si>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</si>
  <si>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</si>
  <si>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</si>
  <si>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</si>
  <si>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</si>
  <si>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</si>
  <si>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</si>
  <si>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</si>
  <si>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</si>
  <si>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</si>
  <si>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</si>
  <si>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</si>
  <si>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</si>
  <si>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</si>
  <si>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</si>
  <si>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</si>
  <si>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</si>
  <si>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</si>
  <si>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</si>
  <si>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</si>
  <si>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</si>
  <si>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</si>
  <si>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</si>
  <si>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</si>
  <si>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</si>
  <si>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</si>
  <si>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</si>
  <si>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</si>
  <si>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</si>
  <si>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</si>
  <si>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</si>
  <si>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</si>
  <si>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</si>
  <si>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</si>
  <si>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</si>
  <si>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</si>
  <si>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</si>
  <si>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</si>
  <si>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</si>
  <si>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</si>
  <si>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</si>
  <si>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</si>
  <si>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</si>
  <si>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</si>
  <si>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</si>
  <si>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</si>
  <si>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</si>
  <si>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</si>
  <si>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</si>
  <si>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</si>
  <si>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</si>
  <si>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</si>
  <si>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</si>
  <si>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</si>
  <si>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</si>
  <si>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</si>
  <si>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</si>
  <si>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</si>
  <si>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</si>
  <si>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</si>
  <si>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</si>
  <si>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</si>
  <si>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</si>
  <si>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</si>
  <si>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</si>
  <si>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</si>
  <si>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</si>
  <si>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</si>
  <si>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</si>
  <si>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</si>
  <si>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</si>
  <si>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</si>
  <si>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</si>
  <si>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</si>
  <si>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</si>
  <si>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</si>
  <si>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</si>
  <si>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</si>
  <si>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</si>
  <si>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</si>
  <si>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</si>
  <si>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</si>
  <si>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</si>
  <si>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</si>
  <si>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</si>
  <si>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</si>
  <si>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</si>
  <si>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</si>
  <si>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</si>
  <si>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</si>
  <si>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</si>
  <si>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</si>
  <si>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</si>
  <si>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</si>
  <si>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</si>
  <si>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</si>
  <si>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</si>
  <si>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</si>
  <si>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</si>
  <si>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</si>
  <si>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</si>
  <si>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</si>
  <si>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</si>
  <si>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</si>
  <si>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</si>
  <si>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</si>
  <si>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</si>
  <si>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</si>
  <si>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</si>
  <si>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</si>
  <si>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</si>
  <si>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</si>
  <si>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</si>
  <si>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</si>
  <si>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</si>
  <si>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</si>
  <si>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</si>
  <si>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</si>
  <si>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</si>
  <si>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</si>
  <si>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</si>
  <si>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</si>
  <si>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</si>
  <si>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</si>
  <si>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</si>
  <si>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</si>
  <si>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</si>
  <si>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</si>
  <si>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</si>
  <si>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</si>
  <si>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</si>
  <si>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</si>
  <si>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</si>
  <si>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</si>
  <si>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</si>
  <si>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</si>
  <si>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</si>
  <si>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</si>
  <si>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</si>
  <si>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</si>
  <si>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</si>
  <si>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</si>
  <si>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</si>
  <si>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</si>
  <si>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</si>
  <si>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</si>
  <si>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</si>
  <si>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</si>
  <si>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</si>
  <si>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</si>
  <si>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</si>
  <si>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</si>
  <si>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</si>
  <si>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</si>
  <si>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</si>
  <si>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</si>
  <si>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</si>
  <si>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</si>
  <si>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</si>
  <si>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</si>
  <si>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</si>
  <si>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</si>
  <si>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</si>
  <si>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</si>
  <si>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</si>
  <si>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</si>
  <si>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</si>
  <si>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</si>
  <si>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</si>
  <si>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</si>
  <si>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</si>
  <si>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</si>
  <si>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</si>
  <si>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</si>
  <si>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</si>
  <si>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</si>
  <si>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</si>
  <si>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</si>
  <si>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</si>
  <si>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</si>
  <si>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</si>
  <si>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</si>
  <si>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</si>
  <si>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</si>
  <si>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</si>
  <si>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</si>
  <si>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</si>
  <si>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</si>
  <si>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</si>
  <si>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</si>
  <si>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</si>
  <si>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</si>
  <si>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</si>
  <si>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</si>
  <si>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</si>
  <si>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</si>
  <si>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</si>
  <si>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</si>
  <si>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</si>
  <si>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</si>
  <si>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</si>
  <si>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</si>
  <si>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</si>
  <si>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</si>
  <si>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</si>
  <si>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</si>
  <si>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</si>
  <si>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</si>
  <si>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</si>
  <si>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</si>
  <si>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</si>
  <si>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</si>
  <si>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</si>
  <si>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</si>
  <si>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</si>
  <si>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</si>
  <si>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</si>
  <si>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</si>
  <si>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</si>
  <si>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</si>
  <si>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</si>
  <si>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</si>
  <si>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</si>
  <si>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</si>
  <si>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</si>
  <si>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</si>
  <si>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</si>
  <si>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</si>
  <si>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</si>
  <si>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</si>
  <si>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</si>
  <si>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</si>
  <si>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</si>
  <si>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</si>
  <si>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</si>
  <si>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</si>
  <si>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</si>
  <si>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</si>
  <si>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</si>
  <si>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</si>
  <si>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</si>
  <si>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</si>
  <si>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</si>
  <si>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</si>
  <si>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</si>
  <si>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</si>
  <si>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</si>
  <si>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</si>
  <si>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</si>
  <si>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</si>
  <si>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</si>
  <si>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</si>
  <si>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</si>
  <si>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</si>
  <si>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</si>
  <si>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</si>
  <si>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</si>
  <si>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</si>
  <si>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</si>
  <si>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</si>
  <si>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</si>
  <si>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</si>
  <si>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</si>
  <si>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</si>
  <si>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</si>
  <si>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</si>
  <si>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</si>
  <si>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</si>
  <si>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</si>
  <si>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</si>
  <si>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</si>
  <si>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</si>
  <si>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</si>
  <si>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</si>
  <si>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</si>
  <si>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</si>
  <si>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</si>
  <si>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</si>
  <si>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</si>
  <si>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</si>
  <si>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</si>
  <si>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</si>
  <si>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</si>
  <si>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</si>
  <si>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</si>
  <si>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</si>
  <si>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</si>
  <si>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</si>
  <si>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</si>
  <si>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</si>
  <si>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</si>
  <si>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</si>
  <si>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</si>
  <si>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</si>
  <si>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</si>
  <si>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</si>
  <si>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</si>
  <si>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</si>
  <si>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</si>
  <si>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</si>
  <si>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</si>
  <si>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</si>
  <si>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</si>
  <si>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</si>
  <si>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</si>
  <si>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</si>
  <si>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</si>
  <si>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</si>
  <si>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</si>
  <si>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</si>
  <si>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</si>
  <si>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</si>
  <si>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</si>
  <si>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</si>
  <si>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</si>
  <si>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</si>
  <si>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</si>
  <si>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</si>
  <si>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</si>
  <si>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</si>
  <si>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</si>
  <si>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</si>
  <si>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</si>
  <si>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</si>
  <si>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</si>
  <si>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</si>
  <si>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</si>
  <si>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</si>
  <si>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</si>
  <si>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</si>
  <si>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</si>
  <si>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</si>
  <si>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</si>
  <si>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</si>
  <si>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</si>
  <si>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</si>
  <si>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</si>
  <si>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</si>
  <si>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</si>
  <si>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</si>
  <si>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</si>
  <si>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</si>
  <si>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</si>
  <si>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</si>
  <si>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</si>
  <si>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</si>
  <si>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</si>
  <si>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</si>
  <si>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</si>
  <si>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</si>
  <si>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</si>
  <si>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</si>
  <si>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</si>
  <si>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</si>
  <si>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</si>
  <si>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</si>
  <si>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</si>
  <si>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</si>
  <si>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</si>
  <si>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</si>
  <si>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</si>
  <si>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</si>
  <si>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</si>
  <si>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</si>
  <si>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</si>
  <si>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</si>
  <si>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</si>
  <si>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</si>
  <si>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</si>
  <si>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</si>
  <si>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</si>
  <si>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</si>
  <si>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</si>
  <si>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</si>
  <si>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</si>
  <si>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</si>
  <si>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</si>
  <si>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</si>
  <si>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</si>
  <si>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</si>
  <si>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</si>
  <si>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</si>
  <si>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</si>
  <si>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</si>
  <si>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</si>
  <si>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</si>
  <si>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</si>
  <si>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</si>
  <si>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</si>
  <si>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</si>
  <si>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</si>
  <si>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</si>
  <si>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</si>
  <si>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</si>
  <si>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</si>
  <si>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</si>
  <si>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</si>
  <si>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</si>
  <si>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</si>
  <si>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</si>
  <si>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</si>
  <si>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</si>
  <si>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</si>
  <si>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</si>
  <si>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</si>
  <si>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</si>
  <si>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</si>
  <si>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</si>
  <si>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</si>
  <si>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</si>
  <si>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</si>
  <si>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</si>
  <si>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</si>
  <si>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</si>
  <si>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</si>
  <si>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</si>
  <si>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</si>
  <si>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</si>
  <si>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</si>
  <si>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</si>
  <si>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</si>
  <si>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</si>
  <si>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</si>
  <si>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</si>
  <si>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</si>
  <si>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</si>
  <si>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</si>
  <si>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</si>
  <si>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</si>
  <si>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</si>
  <si>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</si>
  <si>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</si>
  <si>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</si>
  <si>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</si>
  <si>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</si>
  <si>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</si>
  <si>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</si>
  <si>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</si>
  <si>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</si>
  <si>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</si>
  <si>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</si>
  <si>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</si>
  <si>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</si>
  <si>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</si>
  <si>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</si>
  <si>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</si>
  <si>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</si>
  <si>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</si>
  <si>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</si>
  <si>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</si>
  <si>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</si>
  <si>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</si>
  <si>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</si>
  <si>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</si>
  <si>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</si>
  <si>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</si>
  <si>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</si>
  <si>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</si>
  <si>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</si>
  <si>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</si>
  <si>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</si>
  <si>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</si>
  <si>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</si>
  <si>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</si>
  <si>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</si>
  <si>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</si>
  <si>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</si>
  <si>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</si>
  <si>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</si>
  <si>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</si>
  <si>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</si>
  <si>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</si>
  <si>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</si>
  <si>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</si>
  <si>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</si>
  <si>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</si>
  <si>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</si>
  <si>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</si>
  <si>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</si>
  <si>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</si>
  <si>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</si>
  <si>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</si>
  <si>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</si>
  <si>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</si>
  <si>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</si>
  <si>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</si>
  <si>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</si>
  <si>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</si>
  <si>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</si>
  <si>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</si>
  <si>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</si>
  <si>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</si>
  <si>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</si>
  <si>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</si>
  <si>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</si>
  <si>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</si>
  <si>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</si>
  <si>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</si>
  <si>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</si>
  <si>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</si>
  <si>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</si>
  <si>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</si>
  <si>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</si>
  <si>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</si>
  <si>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</si>
  <si>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</si>
  <si>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</si>
  <si>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</si>
  <si>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</si>
  <si>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</si>
  <si>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</si>
  <si>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</si>
  <si>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</si>
  <si>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</si>
  <si>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</si>
  <si>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</si>
  <si>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</si>
  <si>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</si>
  <si>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</si>
  <si>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</si>
  <si>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</si>
  <si>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</si>
  <si>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</si>
  <si>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</si>
  <si>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</si>
  <si>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</si>
  <si>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</si>
  <si>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</si>
  <si>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</si>
  <si>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</si>
  <si>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</si>
  <si>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</si>
  <si>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</si>
  <si>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</si>
  <si>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</si>
  <si>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</si>
  <si>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</si>
  <si>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</si>
  <si>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</si>
  <si>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</si>
  <si>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</si>
  <si>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</si>
  <si>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</si>
  <si>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</si>
  <si>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</si>
  <si>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</si>
  <si>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</si>
  <si>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</si>
  <si>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</si>
  <si>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</si>
  <si>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</si>
  <si>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</si>
  <si>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</si>
  <si>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</si>
  <si>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</si>
  <si>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</si>
  <si>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</si>
  <si>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</si>
  <si>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</si>
  <si>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</si>
  <si>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</si>
  <si>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</si>
  <si>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</si>
  <si>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</si>
  <si>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</si>
  <si>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</si>
  <si>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</si>
  <si>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</si>
  <si>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</si>
  <si>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</si>
  <si>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</si>
  <si>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</si>
  <si>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</si>
  <si>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</si>
  <si>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</si>
  <si>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</si>
  <si>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</si>
  <si>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</si>
  <si>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</si>
  <si>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</si>
  <si>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</si>
  <si>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</si>
  <si>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</si>
  <si>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</si>
  <si>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</si>
  <si>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</si>
  <si>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</si>
  <si>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</si>
  <si>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</si>
  <si>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</si>
  <si>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</si>
  <si>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</si>
  <si>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</si>
  <si>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</si>
  <si>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</si>
  <si>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</si>
  <si>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</si>
  <si>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</si>
  <si>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</si>
  <si>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</si>
  <si>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</si>
  <si>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</si>
  <si>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</si>
  <si>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</si>
  <si>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</si>
  <si>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</si>
  <si>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</si>
  <si>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</si>
  <si>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</si>
  <si>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</si>
  <si>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</si>
  <si>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</si>
  <si>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</si>
  <si>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</si>
  <si>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</si>
  <si>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</si>
  <si>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</si>
  <si>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</si>
  <si>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</si>
  <si>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</si>
  <si>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</si>
  <si>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</si>
  <si>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</si>
  <si>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</si>
  <si>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</si>
  <si>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</si>
  <si>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</si>
  <si>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</si>
  <si>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</si>
  <si>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</si>
  <si>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</si>
  <si>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</si>
  <si>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</si>
  <si>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</si>
  <si>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</si>
  <si>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</si>
  <si>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</si>
  <si>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</si>
  <si>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</si>
  <si>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</si>
  <si>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</si>
  <si>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</si>
  <si>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</si>
  <si>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</si>
  <si>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</si>
  <si>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</si>
  <si>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</si>
  <si>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</si>
  <si>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</si>
  <si>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</si>
  <si>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</si>
  <si>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</si>
  <si>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</si>
  <si>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</si>
  <si>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</si>
  <si>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</si>
  <si>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</si>
  <si>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</si>
  <si>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</si>
  <si>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</si>
  <si>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</si>
  <si>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</si>
  <si>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</si>
  <si>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</si>
  <si>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</si>
  <si>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</si>
  <si>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</si>
  <si>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</si>
  <si>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</si>
  <si>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</si>
  <si>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</si>
  <si>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</si>
  <si>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</si>
  <si>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</si>
  <si>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</si>
  <si>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</si>
  <si>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</si>
  <si>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</si>
  <si>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</si>
  <si>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</si>
  <si>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</si>
  <si>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</si>
  <si>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</si>
  <si>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</si>
  <si>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</si>
  <si>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</si>
  <si>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</si>
  <si>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</si>
  <si>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</si>
  <si>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</si>
  <si>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</si>
  <si>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</si>
  <si>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</si>
  <si>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</si>
  <si>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</si>
  <si>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</si>
  <si>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</si>
  <si>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</si>
  <si>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</si>
  <si>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</si>
  <si>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</si>
  <si>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</si>
  <si>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</si>
  <si>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</si>
  <si>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</si>
  <si>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</si>
  <si>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</si>
  <si>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</si>
  <si>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</si>
  <si>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</si>
  <si>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</si>
  <si>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</si>
  <si>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</si>
  <si>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</si>
  <si>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</si>
  <si>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</si>
  <si>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</si>
  <si>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2024 Shkurt</t>
  </si>
  <si>
    <t>2024 Janar</t>
  </si>
  <si>
    <t xml:space="preserve">2024 Mars 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</si>
  <si>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</si>
  <si>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</si>
  <si>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</si>
  <si>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</si>
  <si>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</si>
  <si>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</si>
  <si>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</si>
  <si>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 xml:space="preserve">2024 Nëntor </t>
  </si>
  <si>
    <t>2024 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</si>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</sst>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6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10" xfId="1" applyNumberFormat="1" applyFont="1" applyBorder="1"/>
    <xf numFmtId="164" fontId="17" fillId="34" borderId="10" xfId="1" applyNumberFormat="1" applyFont="1" applyFill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4" fontId="17" fillId="34" borderId="10" xfId="1" applyNumberFormat="1" applyFont="1" applyFill="1" applyBorder="1"/>
    <xf numFmtId="164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4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4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4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4" fontId="21" fillId="2" borderId="10" xfId="1" applyNumberFormat="1" applyFont="1" applyFill="1" applyBorder="1" applyProtection="1">
      <protection hidden="1"/>
    </xf>
    <xf numFmtId="164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4" fontId="23" fillId="38" borderId="10" xfId="1" applyNumberFormat="1" applyFont="1" applyFill="1" applyBorder="1" applyAlignment="1" applyProtection="1">
      <alignment horizontal="center"/>
      <protection hidden="1"/>
    </xf>
    <xf numFmtId="164" fontId="21" fillId="2" borderId="11" xfId="1" applyNumberFormat="1" applyFont="1" applyFill="1" applyBorder="1" applyProtection="1">
      <protection hidden="1"/>
    </xf>
    <xf numFmtId="164" fontId="21" fillId="2" borderId="0" xfId="1" applyNumberFormat="1" applyFont="1" applyFill="1" applyProtection="1">
      <protection hidden="1"/>
    </xf>
    <xf numFmtId="164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4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4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4" fontId="21" fillId="2" borderId="12" xfId="1" applyNumberFormat="1" applyFont="1" applyFill="1" applyBorder="1" applyAlignment="1" applyProtection="1">
      <alignment horizontal="center"/>
      <protection hidden="1"/>
    </xf>
    <xf numFmtId="164" fontId="21" fillId="2" borderId="32" xfId="1" applyNumberFormat="1" applyFont="1" applyFill="1" applyBorder="1" applyAlignment="1" applyProtection="1">
      <alignment horizontal="center"/>
      <protection hidden="1"/>
    </xf>
    <xf numFmtId="164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4" fontId="21" fillId="38" borderId="11" xfId="1" applyNumberFormat="1" applyFont="1" applyFill="1" applyBorder="1" applyProtection="1">
      <protection hidden="1"/>
    </xf>
    <xf numFmtId="164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164" fontId="0" fillId="0" borderId="0" xfId="1" applyNumberFormat="1" applyFont="1" applyProtection="1">
      <protection hidden="1"/>
    </xf>
    <xf numFmtId="164" fontId="32" fillId="39" borderId="36" xfId="1" applyNumberFormat="1" applyFont="1" applyFill="1" applyBorder="1" applyAlignment="1" applyProtection="1">
      <alignment horizontal="center" vertical="center" wrapText="1"/>
    </xf>
    <xf numFmtId="164" fontId="0" fillId="2" borderId="0" xfId="1" applyNumberFormat="1" applyFont="1" applyFill="1" applyProtection="1">
      <protection hidden="1"/>
    </xf>
    <xf numFmtId="164" fontId="32" fillId="2" borderId="36" xfId="1" applyNumberFormat="1" applyFont="1" applyFill="1" applyBorder="1" applyAlignment="1" applyProtection="1">
      <alignment horizontal="center" vertical="center" wrapText="1"/>
    </xf>
    <xf numFmtId="2" fontId="0" fillId="2" borderId="0" xfId="0" applyNumberFormat="1" applyFont="1" applyFill="1"/>
    <xf numFmtId="164" fontId="0" fillId="2" borderId="0" xfId="0" applyNumberFormat="1" applyFont="1" applyFill="1"/>
    <xf numFmtId="4" fontId="32" fillId="39" borderId="36" xfId="0" applyNumberFormat="1" applyFont="1" applyFill="1" applyBorder="1" applyAlignment="1" applyProtection="1">
      <alignment horizontal="right" vertical="center" wrapText="1"/>
    </xf>
    <xf numFmtId="43" fontId="0" fillId="2" borderId="0" xfId="1" applyFont="1" applyFill="1"/>
    <xf numFmtId="4" fontId="32" fillId="2" borderId="36" xfId="0" applyNumberFormat="1" applyFont="1" applyFill="1" applyBorder="1" applyAlignment="1" applyProtection="1">
      <alignment horizontal="right" vertical="center" wrapText="1"/>
    </xf>
    <xf numFmtId="164" fontId="21" fillId="38" borderId="23" xfId="1" applyNumberFormat="1" applyFont="1" applyFill="1" applyBorder="1" applyProtection="1">
      <protection hidden="1"/>
    </xf>
    <xf numFmtId="164" fontId="21" fillId="38" borderId="37" xfId="1" applyNumberFormat="1" applyFont="1" applyFill="1" applyBorder="1" applyProtection="1">
      <protection hidden="1"/>
    </xf>
    <xf numFmtId="164" fontId="21" fillId="2" borderId="13" xfId="1" applyNumberFormat="1" applyFont="1" applyFill="1" applyBorder="1" applyProtection="1">
      <protection hidden="1"/>
    </xf>
    <xf numFmtId="164" fontId="0" fillId="2" borderId="13" xfId="1" applyNumberFormat="1" applyFont="1" applyFill="1" applyBorder="1" applyProtection="1">
      <protection hidden="1"/>
    </xf>
    <xf numFmtId="43" fontId="0" fillId="2" borderId="0" xfId="0" applyNumberFormat="1" applyFont="1" applyFill="1"/>
    <xf numFmtId="164" fontId="0" fillId="2" borderId="10" xfId="1" applyNumberFormat="1" applyFont="1" applyFill="1" applyBorder="1"/>
    <xf numFmtId="164" fontId="0" fillId="2" borderId="10" xfId="1" applyNumberFormat="1" applyFont="1" applyFill="1" applyBorder="1" applyAlignment="1">
      <alignment horizontal="center"/>
    </xf>
    <xf numFmtId="164" fontId="0" fillId="0" borderId="0" xfId="1" applyNumberFormat="1" applyFont="1" applyBorder="1"/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35"/>
  <sheetViews>
    <sheetView tabSelected="1" zoomScale="85" zoomScaleNormal="85" zoomScaleSheetLayoutView="80" workbookViewId="0">
      <pane xSplit="2" ySplit="5" topLeftCell="C103" activePane="bottomRight" state="frozen"/>
      <selection pane="topRight" activeCell="B1" sqref="B1"/>
      <selection pane="bottomLeft" activeCell="A6" sqref="A6"/>
      <selection pane="bottomRight" activeCell="M136" sqref="M136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4.285156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56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57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58"/>
      <c r="B3" s="158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58"/>
      <c r="B4" s="158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52" t="str">
        <f>IF(L!$A$1=1,L!S4,IF(L!$A$1=2,L!S13,L!S23))</f>
        <v>Qeveria Lokale</v>
      </c>
      <c r="N4" s="119"/>
      <c r="O4" s="115"/>
      <c r="P4" s="115"/>
      <c r="Q4" s="115"/>
      <c r="R4" s="115"/>
      <c r="S4" s="151" t="s">
        <v>868</v>
      </c>
      <c r="T4" s="119"/>
      <c r="U4" s="115"/>
      <c r="V4" s="115"/>
      <c r="W4" s="115"/>
      <c r="X4" s="115"/>
      <c r="Y4" s="151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59"/>
      <c r="B5" s="159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52"/>
      <c r="N5" s="120" t="str">
        <f>IF(L!$A$1=1,L!T4,IF(L!$A$1=2,L!T13,L!T23))</f>
        <v>Paga</v>
      </c>
      <c r="O5" s="133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51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51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53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10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53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53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53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53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53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53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53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53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53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53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53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53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53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53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53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53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53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53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53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53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53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54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54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54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55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53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53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53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53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53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53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53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53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53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54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54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54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55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53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53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53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53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53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53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53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53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53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54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54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54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55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53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53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53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53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53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53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53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53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53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54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54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54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55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53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53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53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53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53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53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53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53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53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54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54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54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55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53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53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53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53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53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53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53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53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53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54"/>
      <c r="B93" s="103" t="str">
        <f>IF(L!$A$1=1,L!B214,IF(L!$A$1=2,L!C214,L!D214))</f>
        <v>2021 Tetor</v>
      </c>
      <c r="C93" s="131">
        <f t="shared" si="78"/>
        <v>1771114.25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1063471.1199999999</v>
      </c>
      <c r="N93" s="104">
        <v>278274.62999999995</v>
      </c>
      <c r="O93" s="104">
        <v>140746.85</v>
      </c>
      <c r="P93" s="104">
        <v>21144.690000000006</v>
      </c>
      <c r="Q93" s="104">
        <v>25945.000000000007</v>
      </c>
      <c r="R93" s="104">
        <v>597359.94999999995</v>
      </c>
      <c r="S93" s="131">
        <f t="shared" si="86"/>
        <v>485109.9</v>
      </c>
      <c r="T93" s="134">
        <v>391354.69</v>
      </c>
      <c r="U93" s="134">
        <v>31612.71</v>
      </c>
      <c r="V93" s="134">
        <v>10608.1</v>
      </c>
      <c r="W93" s="134">
        <v>700</v>
      </c>
      <c r="X93" s="134">
        <v>50834.400000000001</v>
      </c>
      <c r="Y93" s="131">
        <f t="shared" si="87"/>
        <v>222533.23</v>
      </c>
      <c r="Z93" s="135">
        <v>141129.75</v>
      </c>
      <c r="AA93" s="135">
        <v>19389.009999999998</v>
      </c>
      <c r="AB93" s="135">
        <v>3938.87</v>
      </c>
      <c r="AC93" s="135">
        <v>58075.6</v>
      </c>
      <c r="AD93" s="104"/>
    </row>
    <row r="94" spans="1:30" x14ac:dyDescent="0.25">
      <c r="A94" s="154"/>
      <c r="B94" s="103" t="str">
        <f>IF(L!$A$1=1,L!B215,IF(L!$A$1=2,L!C215,L!D215))</f>
        <v xml:space="preserve">2021 Nëntor </v>
      </c>
      <c r="C94" s="131">
        <f t="shared" si="78"/>
        <v>1793510.56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961723.29</v>
      </c>
      <c r="N94" s="104">
        <v>293834.38</v>
      </c>
      <c r="O94" s="104">
        <v>267592.63</v>
      </c>
      <c r="P94" s="104">
        <v>17673.89</v>
      </c>
      <c r="Q94" s="104">
        <v>27851.4</v>
      </c>
      <c r="R94" s="104">
        <v>354770.99</v>
      </c>
      <c r="S94" s="131">
        <f t="shared" si="86"/>
        <v>645615.19000000006</v>
      </c>
      <c r="T94" s="104">
        <v>524320.87</v>
      </c>
      <c r="U94" s="104">
        <v>83691.03</v>
      </c>
      <c r="V94" s="104">
        <v>5070.1099999999997</v>
      </c>
      <c r="W94" s="104"/>
      <c r="X94" s="104">
        <v>32533.18</v>
      </c>
      <c r="Y94" s="131">
        <f t="shared" si="87"/>
        <v>186172.08</v>
      </c>
      <c r="Z94" s="104">
        <v>142485.5</v>
      </c>
      <c r="AA94" s="104">
        <v>38933.15</v>
      </c>
      <c r="AB94" s="104">
        <v>3050.38</v>
      </c>
      <c r="AC94" s="104">
        <v>545.29999999999995</v>
      </c>
      <c r="AD94" s="104">
        <v>1157.75</v>
      </c>
    </row>
    <row r="95" spans="1:30" x14ac:dyDescent="0.25">
      <c r="A95" s="154"/>
      <c r="B95" s="103" t="str">
        <f>IF(L!$A$1=1,L!B216,IF(L!$A$1=2,L!C216,L!D216))</f>
        <v>2021 Dhjetor</v>
      </c>
      <c r="C95" s="131">
        <f t="shared" si="78"/>
        <v>2634763.4899999998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1600122.5999999996</v>
      </c>
      <c r="N95" s="104">
        <v>307988.37999999989</v>
      </c>
      <c r="O95" s="104">
        <v>269811.67999999993</v>
      </c>
      <c r="P95" s="104">
        <v>10601.62</v>
      </c>
      <c r="Q95" s="104">
        <v>73325.84</v>
      </c>
      <c r="R95" s="104">
        <v>938395.08</v>
      </c>
      <c r="S95" s="131">
        <f t="shared" si="86"/>
        <v>292323.25</v>
      </c>
      <c r="T95" s="104">
        <v>150490.29</v>
      </c>
      <c r="U95" s="104">
        <v>84887.77</v>
      </c>
      <c r="V95" s="104">
        <v>3285.53</v>
      </c>
      <c r="W95" s="104">
        <v>10785.5</v>
      </c>
      <c r="X95" s="104">
        <v>42874.16</v>
      </c>
      <c r="Y95" s="131">
        <f t="shared" si="87"/>
        <v>742317.64</v>
      </c>
      <c r="Z95" s="104">
        <v>418374.66000000003</v>
      </c>
      <c r="AA95" s="104">
        <v>114239.34</v>
      </c>
      <c r="AB95" s="104">
        <v>11270.47</v>
      </c>
      <c r="AC95" s="104">
        <v>2100</v>
      </c>
      <c r="AD95" s="104">
        <v>196333.17</v>
      </c>
    </row>
    <row r="96" spans="1:30" x14ac:dyDescent="0.25">
      <c r="A96" s="155"/>
      <c r="B96" s="124" t="str">
        <f>IF(L!$A$1=1,L!B217,IF(L!$A$1=2,L!C217,L!D217))</f>
        <v>Gjithsej 2021</v>
      </c>
      <c r="C96" s="123">
        <f t="shared" si="78"/>
        <v>18297184.939999998</v>
      </c>
      <c r="D96" s="123">
        <f>E96+M96</f>
        <v>9724384.2403599992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8937785.9899999984</v>
      </c>
      <c r="N96" s="121">
        <f t="shared" ref="N96:R96" si="89">SUM(N84:N95)</f>
        <v>3363782.1999999993</v>
      </c>
      <c r="O96" s="121">
        <f t="shared" si="89"/>
        <v>1958787.0199999998</v>
      </c>
      <c r="P96" s="121">
        <f t="shared" si="89"/>
        <v>210400.16999999998</v>
      </c>
      <c r="Q96" s="121">
        <f t="shared" si="89"/>
        <v>484964.45999999996</v>
      </c>
      <c r="R96" s="121">
        <f t="shared" si="89"/>
        <v>2919852.1399999997</v>
      </c>
      <c r="S96" s="121">
        <f>SUM(T96:X96)</f>
        <v>6306399.6600000001</v>
      </c>
      <c r="T96" s="121">
        <f t="shared" ref="T96:X96" si="90">SUM(T84:T95)</f>
        <v>5189744.3400000008</v>
      </c>
      <c r="U96" s="121">
        <f t="shared" si="90"/>
        <v>724315.64</v>
      </c>
      <c r="V96" s="121">
        <f t="shared" si="90"/>
        <v>51469.880000000005</v>
      </c>
      <c r="W96" s="121">
        <f t="shared" si="90"/>
        <v>61475.5</v>
      </c>
      <c r="X96" s="121">
        <f t="shared" si="90"/>
        <v>279394.3</v>
      </c>
      <c r="Y96" s="121">
        <f>SUM(Z96:AD96)</f>
        <v>3052999.2900000005</v>
      </c>
      <c r="Z96" s="121">
        <f t="shared" ref="Z96:AD96" si="91">SUM(Z84:Z95)</f>
        <v>2049577.1800000002</v>
      </c>
      <c r="AA96" s="121">
        <f t="shared" si="91"/>
        <v>426597.01</v>
      </c>
      <c r="AB96" s="121">
        <f t="shared" si="91"/>
        <v>47491.93</v>
      </c>
      <c r="AC96" s="121">
        <f t="shared" si="91"/>
        <v>290431.48</v>
      </c>
      <c r="AD96" s="121">
        <f t="shared" si="91"/>
        <v>238901.69</v>
      </c>
    </row>
    <row r="97" spans="1:30" x14ac:dyDescent="0.25">
      <c r="A97" s="153">
        <v>2022</v>
      </c>
      <c r="B97" s="103" t="str">
        <f>IF(L!$A$1=1,L!B218,IF(L!$A$1=2,L!C218,L!D218))</f>
        <v>2022 Janar</v>
      </c>
      <c r="C97" s="131">
        <f t="shared" ref="C97:C109" si="92">M97+S97+Y97</f>
        <v>814628.92</v>
      </c>
      <c r="D97" s="104">
        <f>E97+M97</f>
        <v>167613.2492100001</v>
      </c>
      <c r="E97" s="104">
        <f>F97+G97+H97+I97+L97</f>
        <v>57713.659209999998</v>
      </c>
      <c r="F97" s="104">
        <v>24846.235489999999</v>
      </c>
      <c r="G97" s="104">
        <v>1301.9379300000001</v>
      </c>
      <c r="H97" s="104">
        <v>469.39997</v>
      </c>
      <c r="I97" s="105">
        <f t="shared" ref="I97:I100" si="93">SUM(J97:K97)</f>
        <v>30409.931329999999</v>
      </c>
      <c r="J97" s="104">
        <v>27498.698</v>
      </c>
      <c r="K97" s="104">
        <v>2911.23333</v>
      </c>
      <c r="L97" s="104">
        <v>686.15449000000001</v>
      </c>
      <c r="M97" s="104">
        <f t="shared" ref="M97:M102" si="94">SUM(N97:R97)</f>
        <v>109899.59000000008</v>
      </c>
      <c r="N97" s="104">
        <f>814628.92-T97-Z97</f>
        <v>109899.59000000008</v>
      </c>
      <c r="O97" s="104"/>
      <c r="P97" s="104"/>
      <c r="Q97" s="104"/>
      <c r="R97" s="104"/>
      <c r="S97" s="131">
        <f t="shared" ref="S97:S102" si="95">SUM(T97:X97)</f>
        <v>575219.71</v>
      </c>
      <c r="T97" s="104">
        <v>575219.71</v>
      </c>
      <c r="U97" s="104"/>
      <c r="V97" s="104"/>
      <c r="W97" s="104"/>
      <c r="X97" s="104"/>
      <c r="Y97" s="131">
        <f t="shared" ref="Y97:Y106" si="96">SUM(Z97:AD97)</f>
        <v>129509.62</v>
      </c>
      <c r="Z97" s="104">
        <v>129509.62</v>
      </c>
      <c r="AA97" s="104"/>
      <c r="AB97" s="104"/>
      <c r="AC97" s="104"/>
      <c r="AD97" s="104"/>
    </row>
    <row r="98" spans="1:30" x14ac:dyDescent="0.25">
      <c r="A98" s="153"/>
      <c r="B98" s="103" t="str">
        <f>IF(L!$A$1=1,L!B219,IF(L!$A$1=2,L!C219,L!D219))</f>
        <v>2022 Shkurt</v>
      </c>
      <c r="C98" s="131">
        <f t="shared" si="92"/>
        <v>1050190.5900000001</v>
      </c>
      <c r="D98" s="104">
        <f t="shared" ref="D98:D101" si="97">E98+M98</f>
        <v>278022.18055999989</v>
      </c>
      <c r="E98" s="104">
        <f t="shared" ref="E98:E101" si="98">F98+G98+H98+I98+L98</f>
        <v>87018.600559999992</v>
      </c>
      <c r="F98" s="104">
        <v>25348.27275</v>
      </c>
      <c r="G98" s="104">
        <v>12435.78448</v>
      </c>
      <c r="H98" s="104">
        <v>2584.5733500000001</v>
      </c>
      <c r="I98" s="105">
        <f t="shared" si="93"/>
        <v>35523.365980000002</v>
      </c>
      <c r="J98" s="104">
        <v>29987.650020000001</v>
      </c>
      <c r="K98" s="104">
        <v>5535.7159600000005</v>
      </c>
      <c r="L98" s="104">
        <v>11126.603999999999</v>
      </c>
      <c r="M98" s="104">
        <f t="shared" si="94"/>
        <v>191003.57999999993</v>
      </c>
      <c r="N98" s="104">
        <f>839920.49-T98-Z98</f>
        <v>107730.74999999994</v>
      </c>
      <c r="O98" s="104">
        <f>160064.52-U98-AA98</f>
        <v>69843.079999999987</v>
      </c>
      <c r="P98" s="104">
        <f>34505.58-V98-AB98</f>
        <v>12979.750000000004</v>
      </c>
      <c r="Q98" s="104">
        <f>15700-AC98</f>
        <v>450</v>
      </c>
      <c r="R98" s="104"/>
      <c r="S98" s="131">
        <f t="shared" si="95"/>
        <v>652610.22000000009</v>
      </c>
      <c r="T98" s="104">
        <v>574832.80000000005</v>
      </c>
      <c r="U98" s="104">
        <v>62244.639999999999</v>
      </c>
      <c r="V98" s="104">
        <v>15532.78</v>
      </c>
      <c r="W98" s="104"/>
      <c r="X98" s="104"/>
      <c r="Y98" s="131">
        <f t="shared" si="96"/>
        <v>206576.78999999998</v>
      </c>
      <c r="Z98" s="104">
        <v>157356.94</v>
      </c>
      <c r="AA98" s="104">
        <v>27976.799999999999</v>
      </c>
      <c r="AB98" s="104">
        <v>5993.05</v>
      </c>
      <c r="AC98" s="104">
        <v>15250</v>
      </c>
      <c r="AD98" s="104"/>
    </row>
    <row r="99" spans="1:30" x14ac:dyDescent="0.25">
      <c r="A99" s="153"/>
      <c r="B99" s="103" t="str">
        <f>IF(L!$A$1=1,L!B220,IF(L!$A$1=2,L!C220,L!D220))</f>
        <v xml:space="preserve">2022 Mars </v>
      </c>
      <c r="C99" s="131">
        <f t="shared" si="92"/>
        <v>1084074.01</v>
      </c>
      <c r="D99" s="104">
        <f t="shared" si="97"/>
        <v>308679.00102000008</v>
      </c>
      <c r="E99" s="104">
        <f t="shared" si="98"/>
        <v>110996.73102000001</v>
      </c>
      <c r="F99" s="104">
        <v>24671.084579999999</v>
      </c>
      <c r="G99" s="104">
        <f>13602.18788+3.63797880709171E-12</f>
        <v>13602.187880000003</v>
      </c>
      <c r="H99" s="104">
        <v>1470.13113</v>
      </c>
      <c r="I99" s="105">
        <f t="shared" si="93"/>
        <v>41293.796000000002</v>
      </c>
      <c r="J99" s="104">
        <v>31926.155299999999</v>
      </c>
      <c r="K99" s="104">
        <v>9367.6406999999999</v>
      </c>
      <c r="L99" s="104">
        <v>29959.531429999999</v>
      </c>
      <c r="M99" s="104">
        <f t="shared" si="94"/>
        <v>197682.27000000005</v>
      </c>
      <c r="N99" s="104">
        <f>816536.39-T99-Z99</f>
        <v>106297.29000000004</v>
      </c>
      <c r="O99" s="104">
        <f>196878.26-U99-AA99</f>
        <v>54525.040000000008</v>
      </c>
      <c r="P99" s="104">
        <f>27752.36-V99-AB99</f>
        <v>14552.939999999999</v>
      </c>
      <c r="Q99" s="104">
        <f>22200-AC99</f>
        <v>1600</v>
      </c>
      <c r="R99" s="104">
        <v>20707</v>
      </c>
      <c r="S99" s="131">
        <f t="shared" si="95"/>
        <v>682164.30999999994</v>
      </c>
      <c r="T99" s="104">
        <v>567040.73</v>
      </c>
      <c r="U99" s="104">
        <v>105784.61</v>
      </c>
      <c r="V99" s="104">
        <v>9338.9699999999993</v>
      </c>
      <c r="W99" s="104"/>
      <c r="X99" s="104"/>
      <c r="Y99" s="131">
        <f t="shared" si="96"/>
        <v>204227.43</v>
      </c>
      <c r="Z99" s="104">
        <v>143198.37</v>
      </c>
      <c r="AA99" s="104">
        <v>36568.61</v>
      </c>
      <c r="AB99" s="104">
        <v>3860.45</v>
      </c>
      <c r="AC99" s="104">
        <v>20600</v>
      </c>
      <c r="AD99" s="104"/>
    </row>
    <row r="100" spans="1:30" x14ac:dyDescent="0.25">
      <c r="A100" s="153"/>
      <c r="B100" s="103" t="str">
        <f>IF(L!$A$1=1,L!B221,IF(L!$A$1=2,L!C221,L!D221))</f>
        <v>2022 Prill</v>
      </c>
      <c r="C100" s="131">
        <f t="shared" si="92"/>
        <v>1303722.75</v>
      </c>
      <c r="D100" s="104">
        <f t="shared" si="97"/>
        <v>472111.23502000002</v>
      </c>
      <c r="E100" s="104">
        <f t="shared" si="98"/>
        <v>99928.195020000014</v>
      </c>
      <c r="F100" s="104">
        <v>25058.463449999999</v>
      </c>
      <c r="G100" s="104">
        <v>13938.50973</v>
      </c>
      <c r="H100" s="104">
        <v>1722.8931499999999</v>
      </c>
      <c r="I100" s="105">
        <f t="shared" si="93"/>
        <v>40998.962180000002</v>
      </c>
      <c r="J100" s="104">
        <v>31609.135450000002</v>
      </c>
      <c r="K100" s="104">
        <f>9389.82673</f>
        <v>9389.8267300000007</v>
      </c>
      <c r="L100" s="104">
        <v>18209.36651</v>
      </c>
      <c r="M100" s="104">
        <f t="shared" si="94"/>
        <v>372183.04000000004</v>
      </c>
      <c r="N100" s="104">
        <f>878898.92-T100-Z100</f>
        <v>108523.38000000003</v>
      </c>
      <c r="O100" s="104">
        <f>324735.58-U100-AA100</f>
        <v>189162.17000000004</v>
      </c>
      <c r="P100" s="104">
        <f>93277.15-V100-AB100</f>
        <v>70387.489999999991</v>
      </c>
      <c r="Q100" s="104">
        <f>6811.1-W100-AC100</f>
        <v>4110</v>
      </c>
      <c r="R100" s="104">
        <v>0</v>
      </c>
      <c r="S100" s="131">
        <f t="shared" si="95"/>
        <v>750663.67999999993</v>
      </c>
      <c r="T100" s="104">
        <v>629087.75</v>
      </c>
      <c r="U100" s="104">
        <v>101315.48</v>
      </c>
      <c r="V100" s="104">
        <v>19540.45</v>
      </c>
      <c r="W100" s="104">
        <v>720</v>
      </c>
      <c r="X100" s="104"/>
      <c r="Y100" s="131">
        <f t="shared" si="96"/>
        <v>180876.03</v>
      </c>
      <c r="Z100" s="104">
        <v>141287.79</v>
      </c>
      <c r="AA100" s="104">
        <v>34257.93</v>
      </c>
      <c r="AB100" s="104">
        <v>3349.21</v>
      </c>
      <c r="AC100" s="104">
        <v>1981.1</v>
      </c>
      <c r="AD100" s="104"/>
    </row>
    <row r="101" spans="1:30" x14ac:dyDescent="0.25">
      <c r="A101" s="153"/>
      <c r="B101" s="103" t="str">
        <f>IF(L!$A$1=1,L!B222,IF(L!$A$1=2,L!C222,L!D222))</f>
        <v>2022 Maj</v>
      </c>
      <c r="C101" s="131">
        <f t="shared" si="92"/>
        <v>1242288.3599999999</v>
      </c>
      <c r="D101" s="104">
        <f t="shared" si="97"/>
        <v>470168.31748999993</v>
      </c>
      <c r="E101" s="104">
        <f t="shared" si="98"/>
        <v>108203.85748999999</v>
      </c>
      <c r="F101" s="104">
        <v>25176.423500000001</v>
      </c>
      <c r="G101" s="104">
        <v>14788.43672</v>
      </c>
      <c r="H101" s="104">
        <v>1029.37871</v>
      </c>
      <c r="I101" s="105">
        <f>SUM(J101:K101)</f>
        <v>39702.245540000004</v>
      </c>
      <c r="J101" s="104">
        <v>31959.173699999999</v>
      </c>
      <c r="K101" s="104">
        <f>7742.36933+0.70251</f>
        <v>7743.0718400000005</v>
      </c>
      <c r="L101" s="104">
        <v>27507.373019999999</v>
      </c>
      <c r="M101" s="104">
        <f t="shared" si="94"/>
        <v>361964.45999999996</v>
      </c>
      <c r="N101" s="104">
        <f>829326.6-T101-Z101</f>
        <v>106229.53999999995</v>
      </c>
      <c r="O101" s="104">
        <f>205282.13-U101-AA101</f>
        <v>145878.88999999998</v>
      </c>
      <c r="P101" s="104">
        <f>27480.68-V101-AB101</f>
        <v>17124.560000000001</v>
      </c>
      <c r="Q101" s="104">
        <f>131534.48-W101-AC101</f>
        <v>44067.000000000015</v>
      </c>
      <c r="R101" s="104">
        <v>48664.47</v>
      </c>
      <c r="S101" s="131">
        <f t="shared" si="95"/>
        <v>639715.11</v>
      </c>
      <c r="T101" s="104">
        <v>578842.15</v>
      </c>
      <c r="U101" s="104">
        <v>36868.020000000004</v>
      </c>
      <c r="V101" s="104">
        <v>8034.94</v>
      </c>
      <c r="W101" s="104">
        <v>15970</v>
      </c>
      <c r="X101" s="104"/>
      <c r="Y101" s="131">
        <f t="shared" si="96"/>
        <v>240608.78999999998</v>
      </c>
      <c r="Z101" s="104">
        <v>144254.91</v>
      </c>
      <c r="AA101" s="104">
        <v>22535.22</v>
      </c>
      <c r="AB101" s="104">
        <v>2321.1799999999998</v>
      </c>
      <c r="AC101" s="104">
        <v>71497.48</v>
      </c>
      <c r="AD101" s="104"/>
    </row>
    <row r="102" spans="1:30" x14ac:dyDescent="0.25">
      <c r="A102" s="153"/>
      <c r="B102" s="103" t="str">
        <f>IF(L!$A$1=1,L!B223,IF(L!$A$1=2,L!C223,L!D223))</f>
        <v>2022 Qershor</v>
      </c>
      <c r="C102" s="131">
        <f t="shared" si="92"/>
        <v>1265511</v>
      </c>
      <c r="D102" s="104">
        <f>E102+M102</f>
        <v>479225.71578000003</v>
      </c>
      <c r="E102" s="104">
        <f>F102+G102+H102+I102+L102</f>
        <v>106702.39577999998</v>
      </c>
      <c r="F102" s="104">
        <v>25102.682019999993</v>
      </c>
      <c r="G102" s="104">
        <v>10844.51352</v>
      </c>
      <c r="H102" s="104">
        <v>772.52707000000009</v>
      </c>
      <c r="I102" s="105">
        <f>SUM(J102:K102)</f>
        <v>39202.052119999978</v>
      </c>
      <c r="J102" s="104">
        <v>32126.547020000002</v>
      </c>
      <c r="K102" s="104">
        <v>7075.5050999999803</v>
      </c>
      <c r="L102" s="104">
        <v>30780.621050000002</v>
      </c>
      <c r="M102" s="104">
        <f t="shared" si="94"/>
        <v>372523.32000000007</v>
      </c>
      <c r="N102" s="104">
        <f>834593.02-T102-Z102</f>
        <v>108233.63000000003</v>
      </c>
      <c r="O102" s="104">
        <f>243606.92-U102-AA102</f>
        <v>131960.77000000002</v>
      </c>
      <c r="P102" s="104">
        <f>39126.34-V102-AB102</f>
        <v>26196.14</v>
      </c>
      <c r="Q102" s="104">
        <f>70630-W102-AC102</f>
        <v>56400</v>
      </c>
      <c r="R102" s="104">
        <f>77554.72-X102</f>
        <v>49732.78</v>
      </c>
      <c r="S102" s="131">
        <f t="shared" si="95"/>
        <v>704908.42999999993</v>
      </c>
      <c r="T102" s="104">
        <v>579047.35</v>
      </c>
      <c r="U102" s="104">
        <v>86754.79</v>
      </c>
      <c r="V102" s="104">
        <v>8774.35</v>
      </c>
      <c r="W102" s="104">
        <v>2510</v>
      </c>
      <c r="X102" s="104">
        <v>27821.94</v>
      </c>
      <c r="Y102" s="131">
        <f t="shared" si="96"/>
        <v>188079.25000000003</v>
      </c>
      <c r="Z102" s="104">
        <v>147312.04</v>
      </c>
      <c r="AA102" s="104">
        <v>24891.360000000001</v>
      </c>
      <c r="AB102" s="104">
        <v>4155.8500000000004</v>
      </c>
      <c r="AC102" s="104">
        <v>11720</v>
      </c>
      <c r="AD102" s="104"/>
    </row>
    <row r="103" spans="1:30" s="132" customFormat="1" x14ac:dyDescent="0.25">
      <c r="A103" s="153"/>
      <c r="B103" s="103" t="str">
        <f>IF(L!$A$1=1,L!B224,IF(L!$A$1=2,L!C224,L!D224))</f>
        <v>2022 Korrik</v>
      </c>
      <c r="C103" s="131">
        <f t="shared" si="92"/>
        <v>1188879.4500000002</v>
      </c>
      <c r="D103" s="104">
        <f>E103+M103</f>
        <v>429360.63738000003</v>
      </c>
      <c r="E103" s="104">
        <f>F103+G103+H103+I103+L103</f>
        <v>109225.46738000003</v>
      </c>
      <c r="F103" s="104">
        <v>24978.209360000001</v>
      </c>
      <c r="G103" s="104">
        <v>11062.969240000006</v>
      </c>
      <c r="H103" s="104">
        <v>935.6237799999999</v>
      </c>
      <c r="I103" s="105">
        <f>SUM(J103:K103)</f>
        <v>45737.674990000021</v>
      </c>
      <c r="J103" s="104">
        <v>36228.048600000002</v>
      </c>
      <c r="K103" s="104">
        <v>9509.6263900000195</v>
      </c>
      <c r="L103" s="104">
        <v>26510.990009999994</v>
      </c>
      <c r="M103" s="104">
        <f>SUM(N103:R103)</f>
        <v>320135.17</v>
      </c>
      <c r="N103" s="104">
        <f>839543.88-T103-Z103</f>
        <v>108218.38</v>
      </c>
      <c r="O103" s="104">
        <f>223888.31-U103-AA103</f>
        <v>133179.75999999998</v>
      </c>
      <c r="P103" s="104">
        <f>23895.76-V103-AB103</f>
        <v>14420.529999999999</v>
      </c>
      <c r="Q103" s="104">
        <f>54135-W103-AC103</f>
        <v>16900</v>
      </c>
      <c r="R103" s="104">
        <v>47416.5</v>
      </c>
      <c r="S103" s="131">
        <f>SUM(T103:X103)</f>
        <v>692705.67</v>
      </c>
      <c r="T103" s="104">
        <v>586894.88</v>
      </c>
      <c r="U103" s="104">
        <v>73653.27</v>
      </c>
      <c r="V103" s="104">
        <v>6682.52</v>
      </c>
      <c r="W103" s="104">
        <v>25475</v>
      </c>
      <c r="X103" s="104">
        <v>0</v>
      </c>
      <c r="Y103" s="131">
        <f t="shared" si="96"/>
        <v>176038.61</v>
      </c>
      <c r="Z103" s="104">
        <v>144430.62</v>
      </c>
      <c r="AA103" s="104">
        <v>17055.28</v>
      </c>
      <c r="AB103" s="104">
        <v>2792.71</v>
      </c>
      <c r="AC103" s="104">
        <v>11760</v>
      </c>
      <c r="AD103" s="104"/>
    </row>
    <row r="104" spans="1:30" x14ac:dyDescent="0.25">
      <c r="A104" s="153"/>
      <c r="B104" s="103" t="str">
        <f>IF(L!$A$1=1,L!B225,IF(L!$A$1=2,L!C225,L!D225))</f>
        <v>2022 Gusht</v>
      </c>
      <c r="C104" s="131">
        <f t="shared" si="92"/>
        <v>803630</v>
      </c>
      <c r="D104" s="104">
        <f>E104+M104</f>
        <v>623552.76390000002</v>
      </c>
      <c r="E104" s="104">
        <f>F104+G104+H104+I104+L104</f>
        <v>106809.34389999999</v>
      </c>
      <c r="F104" s="104">
        <v>24661.182910000003</v>
      </c>
      <c r="G104" s="104">
        <v>11634.678899999999</v>
      </c>
      <c r="H104" s="104">
        <v>785.79655000000093</v>
      </c>
      <c r="I104" s="105">
        <f>SUM(J104:K104)</f>
        <v>36402.685249999995</v>
      </c>
      <c r="J104" s="104">
        <v>27800.572889999999</v>
      </c>
      <c r="K104" s="104">
        <v>8602.1123599999992</v>
      </c>
      <c r="L104" s="104">
        <v>33325.000289999996</v>
      </c>
      <c r="M104" s="104">
        <f>SUM(N104:R104)</f>
        <v>516743.42</v>
      </c>
      <c r="N104" s="104"/>
      <c r="O104" s="104">
        <f>214687.8-U104-AA104</f>
        <v>114887.40999999997</v>
      </c>
      <c r="P104" s="104">
        <f>19837.71-V104-AB104</f>
        <v>14626.08</v>
      </c>
      <c r="Q104" s="104">
        <f>243112.09-W104-AC104</f>
        <v>98432.09</v>
      </c>
      <c r="R104" s="104">
        <f>325992.4-X104</f>
        <v>288797.84000000003</v>
      </c>
      <c r="S104" s="131">
        <f>SUM(T104:X104)</f>
        <v>102642.76</v>
      </c>
      <c r="T104" s="104"/>
      <c r="U104" s="104">
        <v>61932.79</v>
      </c>
      <c r="V104" s="104">
        <v>3115.41</v>
      </c>
      <c r="W104" s="104">
        <v>400</v>
      </c>
      <c r="X104" s="104">
        <v>37194.559999999998</v>
      </c>
      <c r="Y104" s="131">
        <f t="shared" si="96"/>
        <v>184243.82</v>
      </c>
      <c r="Z104" s="104"/>
      <c r="AA104" s="104">
        <v>37867.599999999999</v>
      </c>
      <c r="AB104" s="104">
        <v>2096.2199999999998</v>
      </c>
      <c r="AC104" s="104">
        <v>144280</v>
      </c>
      <c r="AD104" s="104"/>
    </row>
    <row r="105" spans="1:30" x14ac:dyDescent="0.25">
      <c r="A105" s="153"/>
      <c r="B105" s="103" t="str">
        <f>IF(L!$A$1=1,L!B226,IF(L!$A$1=2,L!C226,L!D226))</f>
        <v>2022 Shtator</v>
      </c>
      <c r="C105" s="131">
        <f t="shared" si="92"/>
        <v>1731129.6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>
        <f t="shared" ref="M105:M108" si="99">SUM(N105:R105)</f>
        <v>651688.51000000013</v>
      </c>
      <c r="N105" s="104">
        <f>1095898.33-T105-Z105</f>
        <v>214701.14000000007</v>
      </c>
      <c r="O105" s="104">
        <f>260969.4-U105-AA105</f>
        <v>163993.71</v>
      </c>
      <c r="P105" s="104">
        <f>21629.23-V105-AB105</f>
        <v>14798.25</v>
      </c>
      <c r="Q105" s="104">
        <f>41595-W105-AC105</f>
        <v>40095</v>
      </c>
      <c r="R105" s="104">
        <f>311037.64-X105-AD105</f>
        <v>218100.41</v>
      </c>
      <c r="S105" s="131">
        <f t="shared" ref="S105:S108" si="100">SUM(T105:X105)</f>
        <v>750420.73</v>
      </c>
      <c r="T105" s="104">
        <v>589352.51</v>
      </c>
      <c r="U105" s="104">
        <v>75329.820000000007</v>
      </c>
      <c r="V105" s="104">
        <v>3408.69</v>
      </c>
      <c r="W105" s="104">
        <v>400</v>
      </c>
      <c r="X105" s="104">
        <v>81929.710000000006</v>
      </c>
      <c r="Y105" s="131">
        <f t="shared" si="96"/>
        <v>329020.36</v>
      </c>
      <c r="Z105" s="104">
        <v>291844.68</v>
      </c>
      <c r="AA105" s="104">
        <v>21645.87</v>
      </c>
      <c r="AB105" s="104">
        <v>3422.29</v>
      </c>
      <c r="AC105" s="104">
        <v>1100</v>
      </c>
      <c r="AD105" s="104">
        <v>11007.52</v>
      </c>
    </row>
    <row r="106" spans="1:30" x14ac:dyDescent="0.25">
      <c r="A106" s="154"/>
      <c r="B106" s="103" t="str">
        <f>IF(L!$A$1=1,L!B227,IF(L!$A$1=2,L!C227,L!D227))</f>
        <v>2022 Tetor</v>
      </c>
      <c r="C106" s="131">
        <f t="shared" si="92"/>
        <v>2349659.16</v>
      </c>
      <c r="D106" s="104"/>
      <c r="E106" s="104"/>
      <c r="F106" s="104"/>
      <c r="G106" s="104"/>
      <c r="H106" s="104"/>
      <c r="I106" s="104"/>
      <c r="J106" s="104"/>
      <c r="K106" s="104"/>
      <c r="L106" s="104"/>
      <c r="M106" s="104">
        <f t="shared" si="99"/>
        <v>810638.57999999984</v>
      </c>
      <c r="N106" s="104">
        <f>1459086.92-T106-Z106</f>
        <v>106856.2099999999</v>
      </c>
      <c r="O106" s="104">
        <f>216552.92-U106-AA106</f>
        <v>164114.16</v>
      </c>
      <c r="P106" s="104">
        <f>22997.15-V106-AB106</f>
        <v>17721.61</v>
      </c>
      <c r="Q106" s="104">
        <f>206075.25-W106-AC106</f>
        <v>172205.25</v>
      </c>
      <c r="R106" s="104">
        <f>444946.92-X106-AD106</f>
        <v>349741.35</v>
      </c>
      <c r="S106" s="131">
        <f t="shared" si="100"/>
        <v>1316563.7400000002</v>
      </c>
      <c r="T106" s="134">
        <v>1199936.76</v>
      </c>
      <c r="U106" s="136">
        <v>38673.57</v>
      </c>
      <c r="V106" s="136">
        <v>3383.62</v>
      </c>
      <c r="W106" s="136">
        <v>2550</v>
      </c>
      <c r="X106" s="136">
        <v>72019.789999999994</v>
      </c>
      <c r="Y106" s="131">
        <f t="shared" si="96"/>
        <v>222456.84000000003</v>
      </c>
      <c r="Z106" s="135">
        <v>152293.95000000001</v>
      </c>
      <c r="AA106" s="137">
        <v>13765.19</v>
      </c>
      <c r="AB106" s="137">
        <v>1891.92</v>
      </c>
      <c r="AC106" s="137">
        <v>31320</v>
      </c>
      <c r="AD106" s="104">
        <v>23185.78</v>
      </c>
    </row>
    <row r="107" spans="1:30" x14ac:dyDescent="0.25">
      <c r="A107" s="154"/>
      <c r="B107" s="103" t="str">
        <f>IF(L!$A$1=1,L!B228,IF(L!$A$1=2,L!C228,L!D228))</f>
        <v xml:space="preserve">2022 Nëntor </v>
      </c>
      <c r="C107" s="131">
        <f t="shared" si="92"/>
        <v>1946847.4399999997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>
        <f t="shared" si="99"/>
        <v>867843.47</v>
      </c>
      <c r="N107" s="104">
        <v>107679.84000000003</v>
      </c>
      <c r="O107" s="104">
        <v>179286.44</v>
      </c>
      <c r="P107" s="104">
        <v>17807.48</v>
      </c>
      <c r="Q107" s="104">
        <v>239720.13</v>
      </c>
      <c r="R107" s="104">
        <v>323349.57999999996</v>
      </c>
      <c r="S107" s="131">
        <f t="shared" si="100"/>
        <v>829014.05999999994</v>
      </c>
      <c r="T107" s="104">
        <v>598030.47</v>
      </c>
      <c r="U107" s="104">
        <v>151417.03</v>
      </c>
      <c r="V107" s="104">
        <v>8241.9599999999991</v>
      </c>
      <c r="W107" s="104">
        <v>5300</v>
      </c>
      <c r="X107" s="104">
        <v>66024.600000000006</v>
      </c>
      <c r="Y107" s="131">
        <f t="shared" ref="Y107:Y108" si="101">SUM(Z107:AD107)</f>
        <v>249989.91</v>
      </c>
      <c r="Z107" s="104">
        <v>144283.95000000001</v>
      </c>
      <c r="AA107" s="104">
        <v>66337.48</v>
      </c>
      <c r="AB107" s="104">
        <v>3072.48</v>
      </c>
      <c r="AC107" s="104">
        <v>36296</v>
      </c>
      <c r="AD107" s="104"/>
    </row>
    <row r="108" spans="1:30" x14ac:dyDescent="0.25">
      <c r="A108" s="154"/>
      <c r="B108" s="103" t="str">
        <f>IF(L!$A$1=1,L!B229,IF(L!$A$1=2,L!C229,L!D229))</f>
        <v>2022 Dhjetor</v>
      </c>
      <c r="C108" s="131">
        <f t="shared" si="92"/>
        <v>3558056.1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>
        <f t="shared" si="99"/>
        <v>1847213.5899999999</v>
      </c>
      <c r="N108" s="104">
        <v>87741.929999999906</v>
      </c>
      <c r="O108" s="104">
        <v>245063.74</v>
      </c>
      <c r="P108" s="104">
        <v>21991.699999999997</v>
      </c>
      <c r="Q108" s="104">
        <v>96720</v>
      </c>
      <c r="R108" s="104">
        <v>1395696.22</v>
      </c>
      <c r="S108" s="131">
        <f t="shared" si="100"/>
        <v>1321230.45</v>
      </c>
      <c r="T108" s="104">
        <v>607478.54</v>
      </c>
      <c r="U108" s="104">
        <v>504041.81</v>
      </c>
      <c r="V108" s="104">
        <v>16628.93</v>
      </c>
      <c r="W108" s="104">
        <v>11500</v>
      </c>
      <c r="X108" s="104">
        <v>181581.17</v>
      </c>
      <c r="Y108" s="131">
        <f t="shared" si="101"/>
        <v>389612.06</v>
      </c>
      <c r="Z108" s="104">
        <v>146865.32999999999</v>
      </c>
      <c r="AA108" s="104">
        <v>124680.67</v>
      </c>
      <c r="AB108" s="104">
        <v>2830.36</v>
      </c>
      <c r="AC108" s="104">
        <v>2200</v>
      </c>
      <c r="AD108" s="104">
        <v>113035.7</v>
      </c>
    </row>
    <row r="109" spans="1:30" x14ac:dyDescent="0.25">
      <c r="A109" s="155"/>
      <c r="B109" s="124" t="str">
        <f>IF(L!$A$1=1,L!B230,IF(L!$A$1=2,L!C230,L!D230))</f>
        <v>Gjithsej 2022</v>
      </c>
      <c r="C109" s="123">
        <f t="shared" si="92"/>
        <v>18338617.379999999</v>
      </c>
      <c r="D109" s="123">
        <f>E109+M109</f>
        <v>7406117.2503599999</v>
      </c>
      <c r="E109" s="123">
        <f>F109+G109+H109+I109+L109</f>
        <v>786598.25035999995</v>
      </c>
      <c r="F109" s="123">
        <f t="shared" ref="F109:L109" si="102">SUM(F97:F108)</f>
        <v>199842.55405999999</v>
      </c>
      <c r="G109" s="123">
        <f t="shared" si="102"/>
        <v>89609.018400000001</v>
      </c>
      <c r="H109" s="123">
        <f t="shared" si="102"/>
        <v>9770.3237100000006</v>
      </c>
      <c r="I109" s="123">
        <f t="shared" si="102"/>
        <v>309270.71338999999</v>
      </c>
      <c r="J109" s="121">
        <f t="shared" si="102"/>
        <v>249135.98098000002</v>
      </c>
      <c r="K109" s="121">
        <f t="shared" si="102"/>
        <v>60134.732409999997</v>
      </c>
      <c r="L109" s="121">
        <f t="shared" si="102"/>
        <v>178105.64079999999</v>
      </c>
      <c r="M109" s="121">
        <f>SUM(N109:R109)</f>
        <v>6619519</v>
      </c>
      <c r="N109" s="121">
        <f t="shared" ref="N109:R109" si="103">SUM(N97:N108)</f>
        <v>1272111.6800000002</v>
      </c>
      <c r="O109" s="121">
        <f t="shared" si="103"/>
        <v>1591895.17</v>
      </c>
      <c r="P109" s="121">
        <f t="shared" si="103"/>
        <v>242606.52999999997</v>
      </c>
      <c r="Q109" s="121">
        <f t="shared" si="103"/>
        <v>770699.47</v>
      </c>
      <c r="R109" s="121">
        <f t="shared" si="103"/>
        <v>2742206.15</v>
      </c>
      <c r="S109" s="121">
        <f>SUM(T109:X109)</f>
        <v>9017858.8699999992</v>
      </c>
      <c r="T109" s="121">
        <f t="shared" ref="T109:X109" si="104">SUM(T97:T108)</f>
        <v>7085763.6499999994</v>
      </c>
      <c r="U109" s="121">
        <f t="shared" si="104"/>
        <v>1298015.8299999998</v>
      </c>
      <c r="V109" s="121">
        <f t="shared" si="104"/>
        <v>102682.62</v>
      </c>
      <c r="W109" s="121">
        <f t="shared" si="104"/>
        <v>64825</v>
      </c>
      <c r="X109" s="121">
        <f t="shared" si="104"/>
        <v>466571.77</v>
      </c>
      <c r="Y109" s="121">
        <f>SUM(Z109:AD109)</f>
        <v>2701239.5100000002</v>
      </c>
      <c r="Z109" s="121">
        <f t="shared" ref="Z109:AD109" si="105">SUM(Z97:Z108)</f>
        <v>1742638.2</v>
      </c>
      <c r="AA109" s="121">
        <f t="shared" si="105"/>
        <v>427582.00999999995</v>
      </c>
      <c r="AB109" s="121">
        <f t="shared" si="105"/>
        <v>35785.72</v>
      </c>
      <c r="AC109" s="121">
        <f t="shared" si="105"/>
        <v>348004.57999999996</v>
      </c>
      <c r="AD109" s="121">
        <f t="shared" si="105"/>
        <v>147229</v>
      </c>
    </row>
    <row r="110" spans="1:30" x14ac:dyDescent="0.25">
      <c r="A110" s="153">
        <v>2023</v>
      </c>
      <c r="B110" s="103" t="str">
        <f>IF(L!$A$1=1,L!B231,IF(L!$A$1=2,L!C231,L!D231))</f>
        <v>2023 Janar</v>
      </c>
      <c r="C110" s="131">
        <f t="shared" ref="C110:C122" si="106">M110+S110+Y110</f>
        <v>828852.29</v>
      </c>
      <c r="D110" s="104">
        <f>E110+M110</f>
        <v>165097.18920999998</v>
      </c>
      <c r="E110" s="104">
        <f>F110+G110+H110+I110+L110</f>
        <v>57713.659209999998</v>
      </c>
      <c r="F110" s="104">
        <v>24846.235489999999</v>
      </c>
      <c r="G110" s="104">
        <v>1301.9379300000001</v>
      </c>
      <c r="H110" s="104">
        <v>469.39997</v>
      </c>
      <c r="I110" s="105">
        <f t="shared" ref="I110:I113" si="107">SUM(J110:K110)</f>
        <v>30409.931329999999</v>
      </c>
      <c r="J110" s="104">
        <v>27498.698</v>
      </c>
      <c r="K110" s="104">
        <v>2911.23333</v>
      </c>
      <c r="L110" s="104">
        <v>686.15449000000001</v>
      </c>
      <c r="M110" s="104">
        <f t="shared" ref="M110:M115" si="108">SUM(N110:R110)</f>
        <v>107383.52999999997</v>
      </c>
      <c r="N110" s="104">
        <f>827139.01-T110-Z110</f>
        <v>106393.52999999997</v>
      </c>
      <c r="O110" s="104">
        <f>723.28-U110</f>
        <v>0</v>
      </c>
      <c r="P110" s="104"/>
      <c r="Q110" s="104">
        <v>990</v>
      </c>
      <c r="R110" s="104"/>
      <c r="S110" s="131">
        <f t="shared" ref="S110:S115" si="109">SUM(T110:X110)</f>
        <v>576913.56000000006</v>
      </c>
      <c r="T110" s="104">
        <v>576190.28</v>
      </c>
      <c r="U110" s="104">
        <v>723.28</v>
      </c>
      <c r="V110" s="104"/>
      <c r="W110" s="104"/>
      <c r="X110" s="104"/>
      <c r="Y110" s="131">
        <f t="shared" ref="Y110:Y119" si="110">SUM(Z110:AD110)</f>
        <v>144555.20000000001</v>
      </c>
      <c r="Z110" s="104">
        <v>144555.20000000001</v>
      </c>
      <c r="AA110" s="104"/>
      <c r="AB110" s="104"/>
      <c r="AC110" s="104"/>
      <c r="AD110" s="104"/>
    </row>
    <row r="111" spans="1:30" x14ac:dyDescent="0.25">
      <c r="A111" s="153"/>
      <c r="B111" s="103" t="str">
        <f>IF(L!$A$1=1,L!B232,IF(L!$A$1=2,L!C232,L!D232))</f>
        <v>2023 Shkurt</v>
      </c>
      <c r="C111" s="131">
        <f t="shared" si="106"/>
        <v>1300989.0699999998</v>
      </c>
      <c r="D111" s="104">
        <f t="shared" ref="D111:D114" si="111">E111+M111</f>
        <v>404084.27056000003</v>
      </c>
      <c r="E111" s="104">
        <f t="shared" ref="E111:E114" si="112">F111+G111+H111+I111+L111</f>
        <v>87018.600559999992</v>
      </c>
      <c r="F111" s="104">
        <v>25348.27275</v>
      </c>
      <c r="G111" s="104">
        <v>12435.78448</v>
      </c>
      <c r="H111" s="104">
        <v>2584.5733500000001</v>
      </c>
      <c r="I111" s="105">
        <f t="shared" si="107"/>
        <v>35523.365980000002</v>
      </c>
      <c r="J111" s="104">
        <v>29987.650020000001</v>
      </c>
      <c r="K111" s="104">
        <v>5535.7159600000005</v>
      </c>
      <c r="L111" s="104">
        <v>11126.603999999999</v>
      </c>
      <c r="M111" s="104">
        <f t="shared" si="108"/>
        <v>317065.67000000004</v>
      </c>
      <c r="N111" s="104">
        <f>1013942.95-T111-Z111</f>
        <v>144759.87</v>
      </c>
      <c r="O111" s="104">
        <f>238951.17-U111-AA111</f>
        <v>149377.68000000002</v>
      </c>
      <c r="P111" s="104">
        <f>34714.95-V111-AB111</f>
        <v>19508.12</v>
      </c>
      <c r="Q111" s="104">
        <f>13380-AC111</f>
        <v>3420</v>
      </c>
      <c r="R111" s="104"/>
      <c r="S111" s="131">
        <f t="shared" si="109"/>
        <v>783556.02</v>
      </c>
      <c r="T111" s="104">
        <v>702126.58</v>
      </c>
      <c r="U111" s="104">
        <v>70442.52</v>
      </c>
      <c r="V111" s="104">
        <v>10986.92</v>
      </c>
      <c r="W111" s="104"/>
      <c r="X111" s="104"/>
      <c r="Y111" s="131">
        <f t="shared" si="110"/>
        <v>200367.38</v>
      </c>
      <c r="Z111" s="104">
        <v>167056.5</v>
      </c>
      <c r="AA111" s="104">
        <v>19130.97</v>
      </c>
      <c r="AB111" s="104">
        <v>4219.91</v>
      </c>
      <c r="AC111" s="104">
        <v>9960</v>
      </c>
      <c r="AD111" s="104"/>
    </row>
    <row r="112" spans="1:30" x14ac:dyDescent="0.25">
      <c r="A112" s="153"/>
      <c r="B112" s="103" t="str">
        <f>IF(L!$A$1=1,L!B233,IF(L!$A$1=2,L!C233,L!D233))</f>
        <v xml:space="preserve">2023 Mars </v>
      </c>
      <c r="C112" s="131">
        <f t="shared" si="106"/>
        <v>1589525.34</v>
      </c>
      <c r="D112" s="104">
        <f t="shared" si="111"/>
        <v>519922.03101999999</v>
      </c>
      <c r="E112" s="104">
        <f t="shared" si="112"/>
        <v>110996.73102000001</v>
      </c>
      <c r="F112" s="104">
        <v>24671.084579999999</v>
      </c>
      <c r="G112" s="104">
        <f>13602.18788+3.63797880709171E-12</f>
        <v>13602.187880000003</v>
      </c>
      <c r="H112" s="104">
        <v>1470.13113</v>
      </c>
      <c r="I112" s="105">
        <f t="shared" si="107"/>
        <v>41293.796000000002</v>
      </c>
      <c r="J112" s="104">
        <v>31926.155299999999</v>
      </c>
      <c r="K112" s="104">
        <v>9367.6406999999999</v>
      </c>
      <c r="L112" s="104">
        <v>29959.531429999999</v>
      </c>
      <c r="M112" s="104">
        <f t="shared" si="108"/>
        <v>408925.3</v>
      </c>
      <c r="N112" s="104">
        <f>1006632.89-T112-Z112</f>
        <v>135944.93999999997</v>
      </c>
      <c r="O112" s="104">
        <f>510671.45-U112-AA112</f>
        <v>235554.32</v>
      </c>
      <c r="P112" s="104">
        <f>47721-V112-AB112</f>
        <v>28126.04</v>
      </c>
      <c r="Q112" s="104">
        <f>24500-W112-AC112</f>
        <v>9300</v>
      </c>
      <c r="R112" s="104"/>
      <c r="S112" s="131">
        <f t="shared" si="109"/>
        <v>962821.9800000001</v>
      </c>
      <c r="T112" s="104">
        <v>704937.92</v>
      </c>
      <c r="U112" s="104">
        <v>238389.14</v>
      </c>
      <c r="V112" s="104">
        <v>19294.919999999998</v>
      </c>
      <c r="W112" s="140">
        <v>200</v>
      </c>
      <c r="X112" s="104"/>
      <c r="Y112" s="131">
        <f t="shared" si="110"/>
        <v>217778.06</v>
      </c>
      <c r="Z112" s="104">
        <v>165750.03</v>
      </c>
      <c r="AA112" s="104">
        <v>36727.99</v>
      </c>
      <c r="AB112" s="104">
        <v>300.04000000000002</v>
      </c>
      <c r="AC112" s="104">
        <v>15000</v>
      </c>
      <c r="AD112" s="104"/>
    </row>
    <row r="113" spans="1:30" x14ac:dyDescent="0.25">
      <c r="A113" s="153"/>
      <c r="B113" s="103" t="str">
        <f>IF(L!$A$1=1,L!B234,IF(L!$A$1=2,L!C234,L!D234))</f>
        <v>2023 Prill</v>
      </c>
      <c r="C113" s="131">
        <f t="shared" si="106"/>
        <v>1489424.58</v>
      </c>
      <c r="D113" s="104">
        <f t="shared" si="111"/>
        <v>487915.11502000003</v>
      </c>
      <c r="E113" s="104">
        <f t="shared" si="112"/>
        <v>99928.195020000014</v>
      </c>
      <c r="F113" s="104">
        <v>25058.463449999999</v>
      </c>
      <c r="G113" s="104">
        <v>13938.50973</v>
      </c>
      <c r="H113" s="104">
        <v>1722.8931499999999</v>
      </c>
      <c r="I113" s="105">
        <f t="shared" si="107"/>
        <v>40998.962180000002</v>
      </c>
      <c r="J113" s="104">
        <v>31609.135450000002</v>
      </c>
      <c r="K113" s="104">
        <f>9389.82673</f>
        <v>9389.8267300000007</v>
      </c>
      <c r="L113" s="104">
        <v>18209.36651</v>
      </c>
      <c r="M113" s="104">
        <f t="shared" si="108"/>
        <v>387986.92000000004</v>
      </c>
      <c r="N113" s="104">
        <f>1012245.53-T113-Z113</f>
        <v>142018.66000000003</v>
      </c>
      <c r="O113" s="104">
        <f>400878.83-U113-AA113</f>
        <v>197036.35000000003</v>
      </c>
      <c r="P113" s="104">
        <f>52100.22-V113-AB113</f>
        <v>35731.910000000003</v>
      </c>
      <c r="Q113" s="104">
        <f>13200</f>
        <v>13200</v>
      </c>
      <c r="R113" s="104"/>
      <c r="S113" s="131">
        <f t="shared" si="109"/>
        <v>875601.65</v>
      </c>
      <c r="T113" s="104">
        <v>705213.48</v>
      </c>
      <c r="U113" s="104">
        <v>162972.60999999999</v>
      </c>
      <c r="V113" s="104">
        <v>7415.56</v>
      </c>
      <c r="W113" s="88"/>
      <c r="X113" s="104"/>
      <c r="Y113" s="131">
        <f t="shared" si="110"/>
        <v>225836.01</v>
      </c>
      <c r="Z113" s="104">
        <v>165013.39000000001</v>
      </c>
      <c r="AA113" s="104">
        <v>40869.870000000003</v>
      </c>
      <c r="AB113" s="104">
        <v>8952.75</v>
      </c>
      <c r="AC113" s="104"/>
      <c r="AD113" s="104">
        <v>11000</v>
      </c>
    </row>
    <row r="114" spans="1:30" x14ac:dyDescent="0.25">
      <c r="A114" s="153"/>
      <c r="B114" s="103" t="str">
        <f>IF(L!$A$1=1,L!B235,IF(L!$A$1=2,L!C235,L!D235))</f>
        <v>2023 Maj</v>
      </c>
      <c r="C114" s="131">
        <f t="shared" si="106"/>
        <v>1568616.08</v>
      </c>
      <c r="D114" s="104">
        <f t="shared" si="111"/>
        <v>577284.32749000005</v>
      </c>
      <c r="E114" s="104">
        <f t="shared" si="112"/>
        <v>108203.85748999999</v>
      </c>
      <c r="F114" s="104">
        <v>25176.423500000001</v>
      </c>
      <c r="G114" s="104">
        <v>14788.43672</v>
      </c>
      <c r="H114" s="104">
        <v>1029.37871</v>
      </c>
      <c r="I114" s="105">
        <f>SUM(J114:K114)</f>
        <v>39702.245540000004</v>
      </c>
      <c r="J114" s="104">
        <v>31959.173699999999</v>
      </c>
      <c r="K114" s="104">
        <f>7742.36933+0.70251</f>
        <v>7743.0718400000005</v>
      </c>
      <c r="L114" s="104">
        <v>27507.373019999999</v>
      </c>
      <c r="M114" s="104">
        <f t="shared" si="108"/>
        <v>469080.47000000009</v>
      </c>
      <c r="N114" s="104">
        <f>1020764.04-T114-Z114</f>
        <v>143183.19</v>
      </c>
      <c r="O114" s="104">
        <f>355715.33-U114-AA114</f>
        <v>182237.40000000002</v>
      </c>
      <c r="P114" s="104">
        <f>48240.3-V114-AB114</f>
        <v>27613.47</v>
      </c>
      <c r="Q114" s="104">
        <f>108330.4-W114-AC114</f>
        <v>80480.399999999994</v>
      </c>
      <c r="R114" s="104">
        <v>35566.01</v>
      </c>
      <c r="S114" s="131">
        <f t="shared" si="109"/>
        <v>882567.95000000007</v>
      </c>
      <c r="T114" s="104">
        <v>706725.3</v>
      </c>
      <c r="U114" s="104">
        <v>144771.25</v>
      </c>
      <c r="V114" s="104">
        <v>15671.4</v>
      </c>
      <c r="W114" s="142">
        <v>15400</v>
      </c>
      <c r="X114" s="104"/>
      <c r="Y114" s="131">
        <f t="shared" si="110"/>
        <v>216967.65999999997</v>
      </c>
      <c r="Z114" s="104">
        <v>170855.55</v>
      </c>
      <c r="AA114" s="104">
        <v>28706.68</v>
      </c>
      <c r="AB114" s="104">
        <v>4955.43</v>
      </c>
      <c r="AC114" s="104">
        <v>12450</v>
      </c>
      <c r="AD114" s="104"/>
    </row>
    <row r="115" spans="1:30" x14ac:dyDescent="0.25">
      <c r="A115" s="153"/>
      <c r="B115" s="103" t="str">
        <f>IF(L!$A$1=1,L!B236,IF(L!$A$1=2,L!C236,L!D236))</f>
        <v>2023 Qershor</v>
      </c>
      <c r="C115" s="131">
        <f t="shared" si="106"/>
        <v>1538270.85</v>
      </c>
      <c r="D115" s="104">
        <f>E115+M115</f>
        <v>542814.55578000005</v>
      </c>
      <c r="E115" s="104">
        <f>F115+G115+H115+I115+L115</f>
        <v>106702.39577999998</v>
      </c>
      <c r="F115" s="104">
        <v>25102.682019999993</v>
      </c>
      <c r="G115" s="104">
        <v>10844.51352</v>
      </c>
      <c r="H115" s="104">
        <v>772.52707000000009</v>
      </c>
      <c r="I115" s="105">
        <f>SUM(J115:K115)</f>
        <v>39202.052119999978</v>
      </c>
      <c r="J115" s="104">
        <v>32126.547020000002</v>
      </c>
      <c r="K115" s="104">
        <v>7075.5050999999803</v>
      </c>
      <c r="L115" s="104">
        <v>30780.621050000002</v>
      </c>
      <c r="M115" s="104">
        <f t="shared" si="108"/>
        <v>436112.16000000003</v>
      </c>
      <c r="N115" s="104">
        <f>1057025.52-T115-Z115</f>
        <v>158279.39999999997</v>
      </c>
      <c r="O115" s="104">
        <f>401784.09-U115-AA115</f>
        <v>232202.75000000003</v>
      </c>
      <c r="P115" s="104">
        <f>34226.24-V115-AB115</f>
        <v>21445.009999999995</v>
      </c>
      <c r="Q115" s="104">
        <f>45235-W115-AC115</f>
        <v>24185</v>
      </c>
      <c r="R115" s="104"/>
      <c r="S115" s="131">
        <f t="shared" si="109"/>
        <v>902844.67000000016</v>
      </c>
      <c r="T115" s="104">
        <v>737767.17</v>
      </c>
      <c r="U115" s="104">
        <v>148248.44</v>
      </c>
      <c r="V115" s="104">
        <v>8129.06</v>
      </c>
      <c r="W115" s="104">
        <v>8700</v>
      </c>
      <c r="X115" s="104"/>
      <c r="Y115" s="131">
        <f t="shared" si="110"/>
        <v>199314.02000000002</v>
      </c>
      <c r="Z115" s="104">
        <v>160978.95000000001</v>
      </c>
      <c r="AA115" s="104">
        <v>21332.9</v>
      </c>
      <c r="AB115" s="104">
        <v>4652.17</v>
      </c>
      <c r="AC115" s="104">
        <v>12350</v>
      </c>
      <c r="AD115" s="104"/>
    </row>
    <row r="116" spans="1:30" s="132" customFormat="1" x14ac:dyDescent="0.25">
      <c r="A116" s="153"/>
      <c r="B116" s="103" t="str">
        <f>IF(L!$A$1=1,L!B237,IF(L!$A$1=2,L!C237,L!D237))</f>
        <v>2023 Korrik</v>
      </c>
      <c r="C116" s="131">
        <f t="shared" si="106"/>
        <v>1562429.5400000003</v>
      </c>
      <c r="D116" s="104">
        <f>E116+M116</f>
        <v>627866.7773800001</v>
      </c>
      <c r="E116" s="104">
        <f>F116+G116+H116+I116+L116</f>
        <v>109225.46738000003</v>
      </c>
      <c r="F116" s="104">
        <v>24978.209360000001</v>
      </c>
      <c r="G116" s="104">
        <v>11062.969240000006</v>
      </c>
      <c r="H116" s="104">
        <v>935.6237799999999</v>
      </c>
      <c r="I116" s="105">
        <f>SUM(J116:K116)</f>
        <v>45737.674990000021</v>
      </c>
      <c r="J116" s="104">
        <v>36228.048600000002</v>
      </c>
      <c r="K116" s="104">
        <v>9509.6263900000195</v>
      </c>
      <c r="L116" s="104">
        <v>26510.990009999994</v>
      </c>
      <c r="M116" s="104">
        <f>SUM(N116:R116)</f>
        <v>518641.31000000011</v>
      </c>
      <c r="N116" s="104">
        <f>1058978.37-T116-Z117</f>
        <v>180109.89000000013</v>
      </c>
      <c r="O116" s="104">
        <f>240636.91-U116-AA116</f>
        <v>152564.67000000001</v>
      </c>
      <c r="P116" s="104">
        <f>25901-V116-AB116</f>
        <v>16943.599999999999</v>
      </c>
      <c r="Q116" s="104">
        <f>56751.1-W116-AC116</f>
        <v>54151.1</v>
      </c>
      <c r="R116" s="104">
        <f>169843.97-X116</f>
        <v>114872.05</v>
      </c>
      <c r="S116" s="131">
        <f>SUM(T116:X116)</f>
        <v>878924.39</v>
      </c>
      <c r="T116" s="104">
        <v>730230.24</v>
      </c>
      <c r="U116" s="104">
        <v>82764.83</v>
      </c>
      <c r="V116" s="104">
        <v>8957.4</v>
      </c>
      <c r="W116" s="104">
        <v>2000</v>
      </c>
      <c r="X116" s="104">
        <v>54971.92</v>
      </c>
      <c r="Y116" s="131">
        <f t="shared" si="110"/>
        <v>164863.84</v>
      </c>
      <c r="Z116" s="104">
        <v>158956.43</v>
      </c>
      <c r="AA116" s="104">
        <v>5307.41</v>
      </c>
      <c r="AC116" s="104">
        <v>600</v>
      </c>
      <c r="AD116" s="104"/>
    </row>
    <row r="117" spans="1:30" x14ac:dyDescent="0.25">
      <c r="A117" s="153"/>
      <c r="B117" s="103" t="str">
        <f>IF(L!$A$1=1,L!B238,IF(L!$A$1=2,L!C238,L!D238))</f>
        <v>2023 Gusht</v>
      </c>
      <c r="C117" s="131">
        <f t="shared" si="106"/>
        <v>2238432.4600000004</v>
      </c>
      <c r="D117" s="104">
        <f>E117+M117</f>
        <v>944364.01390000002</v>
      </c>
      <c r="E117" s="104">
        <f>F117+G117+H117+I117+L117</f>
        <v>106809.34389999999</v>
      </c>
      <c r="F117" s="104">
        <v>24661.182910000003</v>
      </c>
      <c r="G117" s="104">
        <v>11634.678899999999</v>
      </c>
      <c r="H117" s="104">
        <v>785.79655000000093</v>
      </c>
      <c r="I117" s="105">
        <f>SUM(J117:K117)</f>
        <v>36402.685249999995</v>
      </c>
      <c r="J117" s="104">
        <v>27800.572889999999</v>
      </c>
      <c r="K117" s="104">
        <v>8602.1123599999992</v>
      </c>
      <c r="L117" s="104">
        <v>33325.000289999996</v>
      </c>
      <c r="M117" s="104">
        <f>SUM(N117:R117)</f>
        <v>837554.67</v>
      </c>
      <c r="N117" s="104">
        <f>1012829.81-T117-Z117</f>
        <v>154412.80000000005</v>
      </c>
      <c r="O117" s="104">
        <f>359142.33-U117-AA117</f>
        <v>189294.47000000003</v>
      </c>
      <c r="P117" s="104">
        <f>30329.97-V117-AB117</f>
        <v>21781.739999999998</v>
      </c>
      <c r="Q117" s="104">
        <f>123320-W117-AC117</f>
        <v>53365</v>
      </c>
      <c r="R117" s="104">
        <f>712810.35-X117-AD117</f>
        <v>418700.66</v>
      </c>
      <c r="S117" s="131">
        <f>SUM(T117:X117)</f>
        <v>1073718.3600000001</v>
      </c>
      <c r="T117" s="127">
        <v>709778.77</v>
      </c>
      <c r="U117" s="127">
        <v>115447.09</v>
      </c>
      <c r="V117" s="127">
        <v>5598.81</v>
      </c>
      <c r="W117" s="127">
        <v>47425</v>
      </c>
      <c r="X117" s="127">
        <v>195468.69</v>
      </c>
      <c r="Y117" s="131">
        <f t="shared" si="110"/>
        <v>327159.43</v>
      </c>
      <c r="Z117" s="104">
        <v>148638.24</v>
      </c>
      <c r="AA117" s="104">
        <v>54400.77</v>
      </c>
      <c r="AB117" s="104">
        <v>2949.42</v>
      </c>
      <c r="AC117" s="104">
        <v>22530</v>
      </c>
      <c r="AD117" s="104">
        <v>98641</v>
      </c>
    </row>
    <row r="118" spans="1:30" x14ac:dyDescent="0.25">
      <c r="A118" s="153"/>
      <c r="B118" s="103" t="str">
        <f>IF(L!$A$1=1,L!B239,IF(L!$A$1=2,L!C239,L!D239))</f>
        <v>2023 Shtator</v>
      </c>
      <c r="C118" s="131">
        <f t="shared" si="106"/>
        <v>2034972.6199999999</v>
      </c>
      <c r="D118" s="104"/>
      <c r="E118" s="104"/>
      <c r="F118" s="104"/>
      <c r="G118" s="104"/>
      <c r="H118" s="104"/>
      <c r="I118" s="104"/>
      <c r="J118" s="104"/>
      <c r="K118" s="104"/>
      <c r="L118" s="104"/>
      <c r="M118" s="104">
        <f t="shared" ref="M118:M121" si="113">SUM(N118:R118)</f>
        <v>1110792.0899999999</v>
      </c>
      <c r="N118" s="104">
        <f>1011954.19-T118-Z118</f>
        <v>352475.08999999997</v>
      </c>
      <c r="O118" s="104">
        <f>403790.77-U118-AA118</f>
        <v>294579.5</v>
      </c>
      <c r="P118" s="104">
        <f>23608.24-V118-AB118</f>
        <v>16852.86</v>
      </c>
      <c r="Q118" s="104">
        <f>113475-W118-AC118</f>
        <v>110975</v>
      </c>
      <c r="R118" s="104">
        <f>482144.42-X118</f>
        <v>335909.64</v>
      </c>
      <c r="S118" s="143">
        <f t="shared" ref="S118:S121" si="114">SUM(T118:X118)</f>
        <v>719133.14</v>
      </c>
      <c r="T118" s="145">
        <v>497500.3</v>
      </c>
      <c r="U118" s="145">
        <v>70149.490000000005</v>
      </c>
      <c r="V118" s="145">
        <v>3448.57</v>
      </c>
      <c r="W118" s="145">
        <v>1800</v>
      </c>
      <c r="X118" s="145">
        <v>146234.78</v>
      </c>
      <c r="Y118" s="144">
        <f t="shared" si="110"/>
        <v>205047.38999999998</v>
      </c>
      <c r="Z118" s="104">
        <v>161978.79999999999</v>
      </c>
      <c r="AA118" s="104">
        <v>39061.78</v>
      </c>
      <c r="AB118" s="104">
        <v>3306.81</v>
      </c>
      <c r="AC118" s="104">
        <v>700</v>
      </c>
      <c r="AD118" s="104"/>
    </row>
    <row r="119" spans="1:30" x14ac:dyDescent="0.25">
      <c r="A119" s="154"/>
      <c r="B119" s="103" t="str">
        <f>IF(L!$A$1=1,L!B240,IF(L!$A$1=2,L!C240,L!D240))</f>
        <v>2023 Tetor</v>
      </c>
      <c r="C119" s="131">
        <f t="shared" si="106"/>
        <v>3337216.6600000006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4">
        <f t="shared" si="113"/>
        <v>2120733.87</v>
      </c>
      <c r="N119" s="104">
        <f>1055346.71-T119-Z119</f>
        <v>356923.66999999993</v>
      </c>
      <c r="O119" s="104">
        <f>411114.26-U119-AA119</f>
        <v>231427.66999999998</v>
      </c>
      <c r="P119" s="104">
        <f>37402.32-V119-AB119</f>
        <v>23129.809999999998</v>
      </c>
      <c r="Q119" s="104">
        <f>342950.15-W119-AC119</f>
        <v>214210.00000000006</v>
      </c>
      <c r="R119" s="104">
        <f>1490403.22-X119-AD119</f>
        <v>1295042.72</v>
      </c>
      <c r="S119" s="143">
        <f t="shared" si="114"/>
        <v>843384.90000000014</v>
      </c>
      <c r="T119" s="146">
        <v>536046.89</v>
      </c>
      <c r="U119" s="146">
        <v>144679.70000000001</v>
      </c>
      <c r="V119" s="146">
        <v>5386.52</v>
      </c>
      <c r="W119" s="146">
        <v>5045.29</v>
      </c>
      <c r="X119" s="146">
        <v>152226.5</v>
      </c>
      <c r="Y119" s="144">
        <f t="shared" si="110"/>
        <v>373097.88999999996</v>
      </c>
      <c r="Z119" s="104">
        <v>162376.15</v>
      </c>
      <c r="AA119" s="137">
        <v>35006.89</v>
      </c>
      <c r="AB119" s="137">
        <v>8885.99</v>
      </c>
      <c r="AC119" s="137">
        <v>123694.86</v>
      </c>
      <c r="AD119" s="104">
        <v>43134</v>
      </c>
    </row>
    <row r="120" spans="1:30" x14ac:dyDescent="0.25">
      <c r="A120" s="154"/>
      <c r="B120" s="103" t="str">
        <f>IF(L!$A$1=1,L!B241,IF(L!$A$1=2,L!C241,L!D241))</f>
        <v xml:space="preserve">2023 Nëntor </v>
      </c>
      <c r="C120" s="131">
        <f t="shared" si="106"/>
        <v>2815708.5199999996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>
        <f t="shared" si="113"/>
        <v>1702076.4</v>
      </c>
      <c r="N120" s="104">
        <f>1015236.87-T120-Z120</f>
        <v>358083.42</v>
      </c>
      <c r="O120" s="104">
        <f>385451.57-U120-AA119</f>
        <v>279774.38</v>
      </c>
      <c r="P120" s="104">
        <f>36166.03-V120-AB120</f>
        <v>23098.719999999998</v>
      </c>
      <c r="Q120" s="104">
        <f>184806.5-W120-AC119</f>
        <v>39261.64</v>
      </c>
      <c r="R120" s="104">
        <f>1244765.33-X120-AD120</f>
        <v>1001858.24</v>
      </c>
      <c r="S120" s="131">
        <f t="shared" si="114"/>
        <v>660819.49</v>
      </c>
      <c r="T120" s="146">
        <v>497042.33</v>
      </c>
      <c r="U120" s="146">
        <v>70670.3</v>
      </c>
      <c r="V120" s="146">
        <v>11639.26</v>
      </c>
      <c r="W120" s="146">
        <v>21850</v>
      </c>
      <c r="X120" s="146">
        <v>59617.599999999999</v>
      </c>
      <c r="Y120" s="131">
        <f t="shared" ref="Y120:Y121" si="115">SUM(Z120:AD120)</f>
        <v>452812.63</v>
      </c>
      <c r="Z120" s="104">
        <v>160111.12</v>
      </c>
      <c r="AA120" s="104">
        <v>99733.97</v>
      </c>
      <c r="AB120" s="104">
        <v>1428.05</v>
      </c>
      <c r="AC120" s="104">
        <v>8250</v>
      </c>
      <c r="AD120" s="104">
        <v>183289.49</v>
      </c>
    </row>
    <row r="121" spans="1:30" x14ac:dyDescent="0.25">
      <c r="A121" s="154"/>
      <c r="B121" s="103" t="str">
        <f>IF(L!$A$1=1,L!B242,IF(L!$A$1=2,L!C242,L!D242))</f>
        <v>2023 Dhjetor</v>
      </c>
      <c r="C121" s="131">
        <f t="shared" si="106"/>
        <v>5897944.1900000013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>
        <f t="shared" si="113"/>
        <v>4040831.8200000003</v>
      </c>
      <c r="N121" s="104">
        <f>1049359.94-T121-Z121</f>
        <v>382916.58999999997</v>
      </c>
      <c r="O121" s="104">
        <f>712493.09-U121-AA121</f>
        <v>240075.69</v>
      </c>
      <c r="P121" s="104">
        <f>77047.97-V121-AB121</f>
        <v>40257.33</v>
      </c>
      <c r="Q121" s="104">
        <f>102274.95-W121-AC121</f>
        <v>58030</v>
      </c>
      <c r="R121" s="104">
        <f>3956768.24-X121-AD121</f>
        <v>3319552.2100000004</v>
      </c>
      <c r="S121" s="131">
        <f t="shared" si="114"/>
        <v>1069540.81</v>
      </c>
      <c r="T121" s="104">
        <v>495864.69</v>
      </c>
      <c r="U121" s="104">
        <v>115137.31</v>
      </c>
      <c r="V121" s="104">
        <v>26056.35</v>
      </c>
      <c r="W121" s="104">
        <v>39844.949999999997</v>
      </c>
      <c r="X121" s="104">
        <v>392637.51</v>
      </c>
      <c r="Y121" s="131">
        <f t="shared" si="115"/>
        <v>787571.56</v>
      </c>
      <c r="Z121" s="104">
        <v>170578.66</v>
      </c>
      <c r="AA121" s="104">
        <v>357280.09</v>
      </c>
      <c r="AB121" s="104">
        <v>10734.29</v>
      </c>
      <c r="AC121" s="104">
        <v>4400</v>
      </c>
      <c r="AD121" s="104">
        <v>244578.52</v>
      </c>
    </row>
    <row r="122" spans="1:30" x14ac:dyDescent="0.25">
      <c r="A122" s="155"/>
      <c r="B122" s="124" t="str">
        <f>IF(L!$A$1=1,L!B243,IF(L!$A$1=2,L!C243,L!D243))</f>
        <v>Gjithsej 2023</v>
      </c>
      <c r="C122" s="123">
        <f t="shared" si="106"/>
        <v>26202382.200000003</v>
      </c>
      <c r="D122" s="123">
        <f>E122+M122</f>
        <v>13243782.460360002</v>
      </c>
      <c r="E122" s="123">
        <f>F122+G122+H122+I122+L122</f>
        <v>786598.25035999995</v>
      </c>
      <c r="F122" s="123">
        <f t="shared" ref="F122:L122" si="116">SUM(F110:F121)</f>
        <v>199842.55405999999</v>
      </c>
      <c r="G122" s="123">
        <f t="shared" si="116"/>
        <v>89609.018400000001</v>
      </c>
      <c r="H122" s="123">
        <f t="shared" si="116"/>
        <v>9770.3237100000006</v>
      </c>
      <c r="I122" s="123">
        <f t="shared" si="116"/>
        <v>309270.71338999999</v>
      </c>
      <c r="J122" s="121">
        <f t="shared" si="116"/>
        <v>249135.98098000002</v>
      </c>
      <c r="K122" s="121">
        <f t="shared" si="116"/>
        <v>60134.732409999997</v>
      </c>
      <c r="L122" s="121">
        <f t="shared" si="116"/>
        <v>178105.64079999999</v>
      </c>
      <c r="M122" s="121">
        <f>SUM(N122:R122)</f>
        <v>12457184.210000001</v>
      </c>
      <c r="N122" s="121">
        <f t="shared" ref="N122:R122" si="117">SUM(N110:N121)</f>
        <v>2615501.0499999998</v>
      </c>
      <c r="O122" s="121">
        <f t="shared" si="117"/>
        <v>2384124.88</v>
      </c>
      <c r="P122" s="121">
        <f t="shared" si="117"/>
        <v>274488.61</v>
      </c>
      <c r="Q122" s="121">
        <f t="shared" si="117"/>
        <v>661568.14</v>
      </c>
      <c r="R122" s="121">
        <f t="shared" si="117"/>
        <v>6521501.5300000012</v>
      </c>
      <c r="S122" s="121">
        <f>SUM(T122:X122)</f>
        <v>10229826.92</v>
      </c>
      <c r="T122" s="121">
        <f t="shared" ref="T122:X122" si="118">SUM(T110:T121)</f>
        <v>7599423.9500000002</v>
      </c>
      <c r="U122" s="121">
        <f t="shared" si="118"/>
        <v>1364395.96</v>
      </c>
      <c r="V122" s="121">
        <f t="shared" si="118"/>
        <v>122584.76999999999</v>
      </c>
      <c r="W122" s="121">
        <f t="shared" si="118"/>
        <v>142265.24</v>
      </c>
      <c r="X122" s="121">
        <f t="shared" si="118"/>
        <v>1001157</v>
      </c>
      <c r="Y122" s="121">
        <f>SUM(Z122:AD122)</f>
        <v>3515371.0699999994</v>
      </c>
      <c r="Z122" s="121">
        <f t="shared" ref="Z122:AD122" si="119">SUM(Z110:Z121)</f>
        <v>1936849.0199999998</v>
      </c>
      <c r="AA122" s="121">
        <f t="shared" si="119"/>
        <v>737559.32000000007</v>
      </c>
      <c r="AB122" s="121">
        <f t="shared" si="119"/>
        <v>50384.860000000008</v>
      </c>
      <c r="AC122" s="121">
        <f t="shared" si="119"/>
        <v>209934.86</v>
      </c>
      <c r="AD122" s="121">
        <f t="shared" si="119"/>
        <v>580643.01</v>
      </c>
    </row>
    <row r="123" spans="1:30" x14ac:dyDescent="0.25">
      <c r="A123" s="153">
        <v>2024</v>
      </c>
      <c r="B123" s="103" t="s">
        <v>879</v>
      </c>
      <c r="C123" s="131">
        <f t="shared" ref="C123:C135" si="120">M123+S123+Y123</f>
        <v>1328662.4500000002</v>
      </c>
      <c r="D123" s="104">
        <f>E123+M123</f>
        <v>410950.16921000008</v>
      </c>
      <c r="E123" s="104">
        <f>F123+G123+H123+I123+L123</f>
        <v>57713.659209999998</v>
      </c>
      <c r="F123" s="104">
        <v>24846.235489999999</v>
      </c>
      <c r="G123" s="104">
        <v>1301.9379300000001</v>
      </c>
      <c r="H123" s="104">
        <v>469.39997</v>
      </c>
      <c r="I123" s="105">
        <f t="shared" ref="I123:I126" si="121">SUM(J123:K123)</f>
        <v>30409.931329999999</v>
      </c>
      <c r="J123" s="104">
        <v>27498.698</v>
      </c>
      <c r="K123" s="104">
        <v>2911.23333</v>
      </c>
      <c r="L123" s="104">
        <v>686.15449000000001</v>
      </c>
      <c r="M123" s="104">
        <f t="shared" ref="M123:M128" si="122">SUM(N123:R123)</f>
        <v>353236.51000000007</v>
      </c>
      <c r="N123" s="104">
        <f>1064420.85-T123-Z123</f>
        <v>159241.58000000007</v>
      </c>
      <c r="O123" s="104">
        <f>212071.57-U123-AA123</f>
        <v>163572.25000000003</v>
      </c>
      <c r="P123" s="104">
        <f>41270.03-V123-AB123</f>
        <v>24822.679999999997</v>
      </c>
      <c r="Q123" s="104">
        <f>10900-W123-AC123</f>
        <v>5600</v>
      </c>
      <c r="R123" s="104"/>
      <c r="S123" s="131">
        <f t="shared" ref="S123:S128" si="123">SUM(T123:X123)</f>
        <v>787821.33000000007</v>
      </c>
      <c r="T123" s="146">
        <v>737718.52</v>
      </c>
      <c r="U123" s="104">
        <v>34517.519999999997</v>
      </c>
      <c r="V123" s="104">
        <v>12485.29</v>
      </c>
      <c r="W123" s="104">
        <v>3100</v>
      </c>
      <c r="X123" s="104"/>
      <c r="Y123" s="131">
        <f t="shared" ref="Y123:Y132" si="124">SUM(Z123:AD123)</f>
        <v>187604.61</v>
      </c>
      <c r="Z123" s="104">
        <v>167460.75</v>
      </c>
      <c r="AA123" s="104">
        <v>13981.8</v>
      </c>
      <c r="AB123" s="104">
        <v>3962.06</v>
      </c>
      <c r="AC123" s="104">
        <v>2200</v>
      </c>
      <c r="AD123" s="104"/>
    </row>
    <row r="124" spans="1:30" x14ac:dyDescent="0.25">
      <c r="A124" s="153"/>
      <c r="B124" s="103" t="s">
        <v>878</v>
      </c>
      <c r="C124" s="131">
        <f t="shared" si="120"/>
        <v>3015940.7</v>
      </c>
      <c r="D124" s="104">
        <f t="shared" ref="D124:D127" si="125">E124+M124</f>
        <v>954975.3505599997</v>
      </c>
      <c r="E124" s="104">
        <f t="shared" ref="E124:E127" si="126">F124+G124+H124+I124+L124</f>
        <v>87018.600559999992</v>
      </c>
      <c r="F124" s="104">
        <v>25348.27275</v>
      </c>
      <c r="G124" s="104">
        <v>12435.78448</v>
      </c>
      <c r="H124" s="104">
        <v>2584.5733500000001</v>
      </c>
      <c r="I124" s="105">
        <f t="shared" si="121"/>
        <v>35523.365980000002</v>
      </c>
      <c r="J124" s="104">
        <v>29987.650020000001</v>
      </c>
      <c r="K124" s="104">
        <v>5535.7159600000005</v>
      </c>
      <c r="L124" s="104">
        <v>11126.603999999999</v>
      </c>
      <c r="M124" s="104">
        <f t="shared" si="122"/>
        <v>867956.74999999977</v>
      </c>
      <c r="N124" s="104">
        <v>368517.92999999982</v>
      </c>
      <c r="O124" s="104">
        <v>246761.07</v>
      </c>
      <c r="P124" s="104">
        <v>24927.75</v>
      </c>
      <c r="Q124" s="104">
        <v>11750</v>
      </c>
      <c r="R124" s="104">
        <v>216000</v>
      </c>
      <c r="S124" s="131">
        <f t="shared" si="123"/>
        <v>1904936.54</v>
      </c>
      <c r="T124" s="146">
        <v>1691456.01</v>
      </c>
      <c r="U124" s="104">
        <v>189991.58</v>
      </c>
      <c r="V124" s="104">
        <v>12488.95</v>
      </c>
      <c r="W124" s="104">
        <v>11000</v>
      </c>
      <c r="X124" s="104"/>
      <c r="Y124" s="131">
        <f t="shared" si="124"/>
        <v>243047.41</v>
      </c>
      <c r="Z124" s="104">
        <v>170733.42</v>
      </c>
      <c r="AA124" s="104">
        <v>46522.44</v>
      </c>
      <c r="AB124" s="104">
        <v>4481.55</v>
      </c>
      <c r="AC124" s="104">
        <v>21310</v>
      </c>
      <c r="AD124" s="104"/>
    </row>
    <row r="125" spans="1:30" s="106" customFormat="1" x14ac:dyDescent="0.25">
      <c r="A125" s="153"/>
      <c r="B125" s="103" t="s">
        <v>880</v>
      </c>
      <c r="C125" s="131">
        <f t="shared" si="120"/>
        <v>1899383.21</v>
      </c>
      <c r="D125" s="104">
        <f t="shared" si="125"/>
        <v>936379.1310200002</v>
      </c>
      <c r="E125" s="104">
        <f t="shared" si="126"/>
        <v>110996.73102000001</v>
      </c>
      <c r="F125" s="104">
        <v>24671.084579999999</v>
      </c>
      <c r="G125" s="104">
        <f>13602.18788+3.63797880709171E-12</f>
        <v>13602.187880000003</v>
      </c>
      <c r="H125" s="104">
        <v>1470.13113</v>
      </c>
      <c r="I125" s="105">
        <f t="shared" si="121"/>
        <v>41293.796000000002</v>
      </c>
      <c r="J125" s="104">
        <v>31926.155299999999</v>
      </c>
      <c r="K125" s="104">
        <v>9367.6406999999999</v>
      </c>
      <c r="L125" s="104">
        <v>29959.531429999999</v>
      </c>
      <c r="M125" s="104">
        <f t="shared" si="122"/>
        <v>825382.40000000014</v>
      </c>
      <c r="N125" s="104">
        <v>152295.13000000018</v>
      </c>
      <c r="O125" s="104">
        <v>251862.57</v>
      </c>
      <c r="P125" s="104">
        <v>18643.699999999997</v>
      </c>
      <c r="Q125" s="104">
        <v>91798</v>
      </c>
      <c r="R125" s="104">
        <v>310783</v>
      </c>
      <c r="S125" s="131">
        <f t="shared" si="123"/>
        <v>871884.83999999985</v>
      </c>
      <c r="T125" s="146">
        <v>733036.40999999992</v>
      </c>
      <c r="U125" s="104">
        <v>107233.99</v>
      </c>
      <c r="V125" s="104">
        <v>12329.44</v>
      </c>
      <c r="W125" s="104">
        <v>19285</v>
      </c>
      <c r="X125" s="104"/>
      <c r="Y125" s="131">
        <f t="shared" si="124"/>
        <v>202115.97</v>
      </c>
      <c r="Z125" s="104">
        <v>165434.57</v>
      </c>
      <c r="AA125" s="104">
        <v>30852</v>
      </c>
      <c r="AB125" s="104">
        <v>3279.4</v>
      </c>
      <c r="AC125" s="104">
        <v>2550</v>
      </c>
      <c r="AD125" s="104"/>
    </row>
    <row r="126" spans="1:30" s="106" customFormat="1" x14ac:dyDescent="0.25">
      <c r="A126" s="153"/>
      <c r="B126" s="103" t="s">
        <v>881</v>
      </c>
      <c r="C126" s="131">
        <f t="shared" si="120"/>
        <v>3099497.1700000004</v>
      </c>
      <c r="D126" s="104">
        <f t="shared" si="125"/>
        <v>1760933.1750200004</v>
      </c>
      <c r="E126" s="104">
        <f t="shared" si="126"/>
        <v>99928.195020000014</v>
      </c>
      <c r="F126" s="104">
        <v>25058.463449999999</v>
      </c>
      <c r="G126" s="104">
        <v>13938.50973</v>
      </c>
      <c r="H126" s="104">
        <v>1722.8931499999999</v>
      </c>
      <c r="I126" s="105">
        <f t="shared" si="121"/>
        <v>40998.962180000002</v>
      </c>
      <c r="J126" s="104">
        <v>31609.135450000002</v>
      </c>
      <c r="K126" s="104">
        <f>9389.82673</f>
        <v>9389.8267300000007</v>
      </c>
      <c r="L126" s="104">
        <v>18209.36651</v>
      </c>
      <c r="M126" s="104">
        <f t="shared" si="122"/>
        <v>1661004.9800000004</v>
      </c>
      <c r="N126" s="104">
        <v>226287.93000000023</v>
      </c>
      <c r="O126" s="104">
        <v>417455.0500000001</v>
      </c>
      <c r="P126" s="104">
        <v>10558.530000000002</v>
      </c>
      <c r="Q126" s="104">
        <v>124610</v>
      </c>
      <c r="R126" s="104">
        <v>882093.47</v>
      </c>
      <c r="S126" s="131">
        <f t="shared" si="123"/>
        <v>1114163.1599999999</v>
      </c>
      <c r="T126" s="146">
        <v>867907.83</v>
      </c>
      <c r="U126" s="104">
        <v>96379.010000000009</v>
      </c>
      <c r="V126" s="104">
        <v>11720.22</v>
      </c>
      <c r="W126" s="104">
        <v>13750</v>
      </c>
      <c r="X126" s="104">
        <v>124406.1</v>
      </c>
      <c r="Y126" s="131">
        <f t="shared" si="124"/>
        <v>324329.02999999997</v>
      </c>
      <c r="Z126" s="104">
        <v>172277.44</v>
      </c>
      <c r="AA126" s="104">
        <v>75392.539999999994</v>
      </c>
      <c r="AB126" s="104">
        <v>5909.05</v>
      </c>
      <c r="AC126" s="104">
        <v>70750</v>
      </c>
      <c r="AD126" s="104"/>
    </row>
    <row r="127" spans="1:30" s="106" customFormat="1" x14ac:dyDescent="0.25">
      <c r="A127" s="153"/>
      <c r="B127" s="103" t="s">
        <v>882</v>
      </c>
      <c r="C127" s="131">
        <f t="shared" si="120"/>
        <v>2184788.4500000002</v>
      </c>
      <c r="D127" s="104">
        <f t="shared" si="125"/>
        <v>1169130.2374900002</v>
      </c>
      <c r="E127" s="104">
        <f t="shared" si="126"/>
        <v>108203.85748999999</v>
      </c>
      <c r="F127" s="104">
        <v>25176.423500000001</v>
      </c>
      <c r="G127" s="104">
        <v>14788.43672</v>
      </c>
      <c r="H127" s="104">
        <v>1029.37871</v>
      </c>
      <c r="I127" s="105">
        <f>SUM(J127:K127)</f>
        <v>39702.245540000004</v>
      </c>
      <c r="J127" s="104">
        <v>31959.173699999999</v>
      </c>
      <c r="K127" s="104">
        <f>7742.36933+0.70251</f>
        <v>7743.0718400000005</v>
      </c>
      <c r="L127" s="104">
        <v>27507.373019999999</v>
      </c>
      <c r="M127" s="104">
        <f t="shared" si="122"/>
        <v>1060926.3800000001</v>
      </c>
      <c r="N127" s="104">
        <v>224546.07000000018</v>
      </c>
      <c r="O127" s="104">
        <v>418959.46999999991</v>
      </c>
      <c r="P127" s="104">
        <v>57602.17</v>
      </c>
      <c r="Q127" s="104">
        <v>56730.670000000006</v>
      </c>
      <c r="R127" s="104">
        <v>303088</v>
      </c>
      <c r="S127" s="131">
        <f t="shared" si="123"/>
        <v>879477.24</v>
      </c>
      <c r="T127" s="146">
        <v>676160.87</v>
      </c>
      <c r="U127" s="104">
        <v>140573.03</v>
      </c>
      <c r="V127" s="104">
        <v>9643.34</v>
      </c>
      <c r="W127" s="104">
        <v>8100</v>
      </c>
      <c r="X127" s="104">
        <v>45000</v>
      </c>
      <c r="Y127" s="131">
        <f t="shared" si="124"/>
        <v>244384.83</v>
      </c>
      <c r="Z127" s="104">
        <v>172200.24</v>
      </c>
      <c r="AA127" s="104">
        <v>16890.96</v>
      </c>
      <c r="AB127" s="104">
        <v>2962.28</v>
      </c>
      <c r="AC127" s="104">
        <v>24331.35</v>
      </c>
      <c r="AD127" s="104">
        <v>28000</v>
      </c>
    </row>
    <row r="128" spans="1:30" s="107" customFormat="1" x14ac:dyDescent="0.25">
      <c r="A128" s="153"/>
      <c r="B128" s="103" t="s">
        <v>883</v>
      </c>
      <c r="C128" s="131">
        <f t="shared" si="120"/>
        <v>2133618.61</v>
      </c>
      <c r="D128" s="104">
        <f>E128+M128</f>
        <v>953295.14578000002</v>
      </c>
      <c r="E128" s="104">
        <f>F128+G128+H128+I128+L128</f>
        <v>106702.39577999998</v>
      </c>
      <c r="F128" s="104">
        <v>25102.682019999993</v>
      </c>
      <c r="G128" s="104">
        <v>10844.51352</v>
      </c>
      <c r="H128" s="104">
        <v>772.52707000000009</v>
      </c>
      <c r="I128" s="105">
        <f>SUM(J128:K128)</f>
        <v>39202.052119999978</v>
      </c>
      <c r="J128" s="104">
        <v>32126.547020000002</v>
      </c>
      <c r="K128" s="104">
        <v>7075.5050999999803</v>
      </c>
      <c r="L128" s="104">
        <v>30780.621050000002</v>
      </c>
      <c r="M128" s="104">
        <f t="shared" si="122"/>
        <v>846592.75</v>
      </c>
      <c r="N128" s="104">
        <v>230436.41999999995</v>
      </c>
      <c r="O128" s="104">
        <v>271384.86</v>
      </c>
      <c r="P128" s="104">
        <v>20863.91</v>
      </c>
      <c r="Q128" s="104">
        <v>28059.850000000006</v>
      </c>
      <c r="R128" s="104">
        <v>295847.71000000002</v>
      </c>
      <c r="S128" s="131">
        <f t="shared" si="123"/>
        <v>1023628.56</v>
      </c>
      <c r="T128" s="146">
        <v>751896.29</v>
      </c>
      <c r="U128" s="104">
        <v>62841.3</v>
      </c>
      <c r="V128" s="104">
        <v>10690.97</v>
      </c>
      <c r="W128" s="104">
        <v>48200</v>
      </c>
      <c r="X128" s="104">
        <v>150000</v>
      </c>
      <c r="Y128" s="131">
        <f t="shared" si="124"/>
        <v>263397.3</v>
      </c>
      <c r="Z128" s="104">
        <v>179460.28</v>
      </c>
      <c r="AA128" s="104">
        <v>15118.33</v>
      </c>
      <c r="AB128" s="104">
        <v>4478.6899999999996</v>
      </c>
      <c r="AC128" s="104">
        <v>44650</v>
      </c>
      <c r="AD128" s="104">
        <v>19690</v>
      </c>
    </row>
    <row r="129" spans="1:30" x14ac:dyDescent="0.25">
      <c r="A129" s="153"/>
      <c r="B129" s="103" t="s">
        <v>884</v>
      </c>
      <c r="C129" s="131">
        <f t="shared" si="120"/>
        <v>2339913.73</v>
      </c>
      <c r="D129" s="104">
        <f>E129+M129</f>
        <v>1141425.2273800001</v>
      </c>
      <c r="E129" s="104">
        <f>F129+G129+H129+I129+L129</f>
        <v>109225.46738000003</v>
      </c>
      <c r="F129" s="104">
        <v>24978.209360000001</v>
      </c>
      <c r="G129" s="104">
        <v>11062.969240000006</v>
      </c>
      <c r="H129" s="104">
        <v>935.6237799999999</v>
      </c>
      <c r="I129" s="105">
        <f>SUM(J129:K129)</f>
        <v>45737.674990000021</v>
      </c>
      <c r="J129" s="104">
        <v>36228.048600000002</v>
      </c>
      <c r="K129" s="104">
        <v>9509.6263900000195</v>
      </c>
      <c r="L129" s="104">
        <v>26510.990009999994</v>
      </c>
      <c r="M129" s="104">
        <f>SUM(N129:R129)</f>
        <v>1032199.76</v>
      </c>
      <c r="N129" s="104">
        <v>152611.33000000002</v>
      </c>
      <c r="O129" s="104">
        <v>221122.01</v>
      </c>
      <c r="P129" s="104">
        <v>14652.760000000002</v>
      </c>
      <c r="Q129" s="104">
        <v>84685.450000000012</v>
      </c>
      <c r="R129" s="104">
        <v>559128.21</v>
      </c>
      <c r="S129" s="131">
        <f>SUM(T129:X129)</f>
        <v>923231.45000000007</v>
      </c>
      <c r="T129" s="146">
        <v>760064.82</v>
      </c>
      <c r="U129" s="104">
        <v>97584.55</v>
      </c>
      <c r="V129" s="104">
        <v>14257.9</v>
      </c>
      <c r="W129" s="104">
        <v>23765</v>
      </c>
      <c r="X129" s="104">
        <v>27559.18</v>
      </c>
      <c r="Y129" s="131">
        <f t="shared" si="124"/>
        <v>384482.52</v>
      </c>
      <c r="Z129" s="104">
        <v>174049.32</v>
      </c>
      <c r="AA129" s="104">
        <v>74508.990000000005</v>
      </c>
      <c r="AB129" s="104">
        <v>3074.21</v>
      </c>
      <c r="AC129" s="104">
        <v>94000</v>
      </c>
      <c r="AD129" s="104">
        <v>38850</v>
      </c>
    </row>
    <row r="130" spans="1:30" x14ac:dyDescent="0.25">
      <c r="A130" s="153"/>
      <c r="B130" s="103" t="s">
        <v>885</v>
      </c>
      <c r="C130" s="131">
        <f t="shared" si="120"/>
        <v>1728540.88</v>
      </c>
      <c r="D130" s="104">
        <f>E130+M130</f>
        <v>733356.23389999988</v>
      </c>
      <c r="E130" s="104">
        <f>F130+G130+H130+I130+L130</f>
        <v>106809.34389999999</v>
      </c>
      <c r="F130" s="104">
        <v>24661.182910000003</v>
      </c>
      <c r="G130" s="104">
        <v>11634.678899999999</v>
      </c>
      <c r="H130" s="104">
        <v>785.79655000000093</v>
      </c>
      <c r="I130" s="105">
        <f>SUM(J130:K130)</f>
        <v>36402.685249999995</v>
      </c>
      <c r="J130" s="104">
        <v>27800.572889999999</v>
      </c>
      <c r="K130" s="104">
        <v>8602.1123599999992</v>
      </c>
      <c r="L130" s="104">
        <v>33325.000289999996</v>
      </c>
      <c r="M130" s="104">
        <f>SUM(N130:R130)</f>
        <v>626546.8899999999</v>
      </c>
      <c r="N130" s="104">
        <v>150983.97</v>
      </c>
      <c r="O130" s="104">
        <v>181573.13</v>
      </c>
      <c r="P130" s="104">
        <v>10338.34</v>
      </c>
      <c r="Q130" s="104">
        <v>28616.1</v>
      </c>
      <c r="R130" s="104">
        <v>255035.34999999998</v>
      </c>
      <c r="S130" s="131">
        <f>SUM(T130:X130)</f>
        <v>888605.24000000011</v>
      </c>
      <c r="T130" s="127">
        <v>743778.06</v>
      </c>
      <c r="U130" s="127">
        <v>57805.120000000003</v>
      </c>
      <c r="V130" s="127">
        <v>3022.06</v>
      </c>
      <c r="W130" s="127">
        <v>4000</v>
      </c>
      <c r="X130" s="127">
        <v>80000</v>
      </c>
      <c r="Y130" s="131">
        <f t="shared" si="124"/>
        <v>213388.75</v>
      </c>
      <c r="Z130" s="104">
        <v>184681.77</v>
      </c>
      <c r="AA130" s="104">
        <v>24089.38</v>
      </c>
      <c r="AB130" s="104">
        <v>2817.6</v>
      </c>
      <c r="AC130" s="104">
        <v>1800</v>
      </c>
      <c r="AD130" s="104"/>
    </row>
    <row r="131" spans="1:30" x14ac:dyDescent="0.25">
      <c r="A131" s="153"/>
      <c r="B131" s="103" t="s">
        <v>886</v>
      </c>
      <c r="C131" s="131">
        <f t="shared" si="120"/>
        <v>2463629.9500000002</v>
      </c>
      <c r="D131" s="104"/>
      <c r="E131" s="104"/>
      <c r="F131" s="104"/>
      <c r="G131" s="104"/>
      <c r="H131" s="104"/>
      <c r="I131" s="104"/>
      <c r="J131" s="104"/>
      <c r="K131" s="104"/>
      <c r="L131" s="104"/>
      <c r="M131" s="104">
        <f t="shared" ref="M131:M134" si="127">SUM(N131:R131)</f>
        <v>1098969.08</v>
      </c>
      <c r="N131" s="104">
        <v>147619.29999999999</v>
      </c>
      <c r="O131" s="104">
        <v>183263.72</v>
      </c>
      <c r="P131" s="104">
        <v>11467.6</v>
      </c>
      <c r="Q131" s="104">
        <v>83926.449999999983</v>
      </c>
      <c r="R131" s="104">
        <v>672692.01</v>
      </c>
      <c r="S131" s="143">
        <f t="shared" ref="S131:S134" si="128">SUM(T131:X131)</f>
        <v>935157.75</v>
      </c>
      <c r="T131" s="145">
        <v>741168.93</v>
      </c>
      <c r="U131" s="145">
        <v>131174.98000000001</v>
      </c>
      <c r="V131" s="145">
        <v>5382.33</v>
      </c>
      <c r="W131" s="145">
        <v>6000</v>
      </c>
      <c r="X131" s="145">
        <v>51431.51</v>
      </c>
      <c r="Y131" s="144">
        <f t="shared" si="124"/>
        <v>429503.11999999994</v>
      </c>
      <c r="Z131" s="104">
        <v>174301.82</v>
      </c>
      <c r="AA131" s="104">
        <v>140451.78</v>
      </c>
      <c r="AB131" s="104">
        <v>3180.16</v>
      </c>
      <c r="AC131" s="104">
        <v>62059.51</v>
      </c>
      <c r="AD131" s="104">
        <v>49509.85</v>
      </c>
    </row>
    <row r="132" spans="1:30" x14ac:dyDescent="0.25">
      <c r="A132" s="154"/>
      <c r="B132" s="103" t="s">
        <v>887</v>
      </c>
      <c r="C132" s="131">
        <f t="shared" si="120"/>
        <v>2667336.6300000004</v>
      </c>
      <c r="D132" s="104"/>
      <c r="E132" s="104"/>
      <c r="F132" s="104"/>
      <c r="G132" s="104"/>
      <c r="H132" s="104"/>
      <c r="I132" s="104"/>
      <c r="J132" s="104"/>
      <c r="K132" s="104"/>
      <c r="L132" s="104"/>
      <c r="M132" s="104">
        <f t="shared" si="127"/>
        <v>1248657.5700000003</v>
      </c>
      <c r="N132" s="104">
        <v>154718.98000000016</v>
      </c>
      <c r="O132" s="104">
        <v>309993.76</v>
      </c>
      <c r="P132" s="104">
        <v>42783.890000000007</v>
      </c>
      <c r="Q132" s="104">
        <v>74305.45</v>
      </c>
      <c r="R132" s="104">
        <v>666855.49</v>
      </c>
      <c r="S132" s="143">
        <f t="shared" si="128"/>
        <v>1137586.1299999999</v>
      </c>
      <c r="T132" s="146">
        <v>737636.55999999994</v>
      </c>
      <c r="U132" s="146">
        <v>205219.20000000001</v>
      </c>
      <c r="V132" s="146">
        <v>14263.880000000001</v>
      </c>
      <c r="W132" s="146">
        <v>1100</v>
      </c>
      <c r="X132" s="146">
        <v>179366.49</v>
      </c>
      <c r="Y132" s="144">
        <f t="shared" si="124"/>
        <v>281092.93</v>
      </c>
      <c r="Z132" s="104">
        <v>169729.82</v>
      </c>
      <c r="AA132" s="137">
        <v>64864.66</v>
      </c>
      <c r="AB132" s="137">
        <v>1583.49</v>
      </c>
      <c r="AC132" s="137">
        <v>7850</v>
      </c>
      <c r="AD132" s="104">
        <v>37064.959999999999</v>
      </c>
    </row>
    <row r="133" spans="1:30" x14ac:dyDescent="0.25">
      <c r="A133" s="154"/>
      <c r="B133" s="103" t="s">
        <v>888</v>
      </c>
      <c r="C133" s="131">
        <f t="shared" si="120"/>
        <v>0</v>
      </c>
      <c r="D133" s="104"/>
      <c r="E133" s="104"/>
      <c r="F133" s="104"/>
      <c r="G133" s="104"/>
      <c r="H133" s="104"/>
      <c r="I133" s="104"/>
      <c r="J133" s="104"/>
      <c r="K133" s="104"/>
      <c r="L133" s="104"/>
      <c r="M133" s="104">
        <f t="shared" si="127"/>
        <v>0</v>
      </c>
      <c r="N133" s="104"/>
      <c r="O133" s="104"/>
      <c r="P133" s="104"/>
      <c r="Q133" s="104"/>
      <c r="R133" s="104"/>
      <c r="S133" s="131">
        <f t="shared" si="128"/>
        <v>0</v>
      </c>
      <c r="T133" s="146"/>
      <c r="U133" s="146"/>
      <c r="V133" s="146"/>
      <c r="W133" s="146"/>
      <c r="X133" s="146"/>
      <c r="Y133" s="131">
        <f t="shared" ref="Y133:Y134" si="129">SUM(Z133:AD133)</f>
        <v>0</v>
      </c>
      <c r="Z133" s="104"/>
      <c r="AA133" s="104"/>
      <c r="AB133" s="104"/>
      <c r="AC133" s="104"/>
      <c r="AD133" s="104"/>
    </row>
    <row r="134" spans="1:30" x14ac:dyDescent="0.25">
      <c r="A134" s="154"/>
      <c r="B134" s="103" t="s">
        <v>889</v>
      </c>
      <c r="C134" s="131">
        <f t="shared" si="120"/>
        <v>0</v>
      </c>
      <c r="D134" s="104"/>
      <c r="E134" s="104"/>
      <c r="F134" s="104"/>
      <c r="G134" s="104"/>
      <c r="H134" s="104"/>
      <c r="I134" s="104"/>
      <c r="J134" s="104"/>
      <c r="K134" s="104"/>
      <c r="L134" s="104"/>
      <c r="M134" s="104">
        <f t="shared" si="127"/>
        <v>0</v>
      </c>
      <c r="N134" s="104"/>
      <c r="O134" s="104"/>
      <c r="P134" s="104"/>
      <c r="Q134" s="104"/>
      <c r="R134" s="104"/>
      <c r="S134" s="131">
        <f t="shared" si="128"/>
        <v>0</v>
      </c>
      <c r="T134" s="104"/>
      <c r="U134" s="104"/>
      <c r="V134" s="104"/>
      <c r="W134" s="104"/>
      <c r="X134" s="104"/>
      <c r="Y134" s="131">
        <f t="shared" si="129"/>
        <v>0</v>
      </c>
      <c r="Z134" s="104"/>
      <c r="AA134" s="104"/>
      <c r="AB134" s="104"/>
      <c r="AC134" s="104"/>
      <c r="AD134" s="104"/>
    </row>
    <row r="135" spans="1:30" x14ac:dyDescent="0.25">
      <c r="A135" s="155"/>
      <c r="B135" s="124" t="s">
        <v>890</v>
      </c>
      <c r="C135" s="123">
        <f t="shared" si="120"/>
        <v>22861311.780000001</v>
      </c>
      <c r="D135" s="123">
        <f>E135+M135</f>
        <v>10408071.320360001</v>
      </c>
      <c r="E135" s="123">
        <f>F135+G135+H135+I135+L135</f>
        <v>786598.25035999995</v>
      </c>
      <c r="F135" s="123">
        <f t="shared" ref="F135:L135" si="130">SUM(F123:F134)</f>
        <v>199842.55405999999</v>
      </c>
      <c r="G135" s="123">
        <f t="shared" si="130"/>
        <v>89609.018400000001</v>
      </c>
      <c r="H135" s="123">
        <f t="shared" si="130"/>
        <v>9770.3237100000006</v>
      </c>
      <c r="I135" s="123">
        <f t="shared" si="130"/>
        <v>309270.71338999999</v>
      </c>
      <c r="J135" s="121">
        <f t="shared" si="130"/>
        <v>249135.98098000002</v>
      </c>
      <c r="K135" s="121">
        <f t="shared" si="130"/>
        <v>60134.732409999997</v>
      </c>
      <c r="L135" s="121">
        <f t="shared" si="130"/>
        <v>178105.64079999999</v>
      </c>
      <c r="M135" s="121">
        <f>SUM(N135:R135)</f>
        <v>9621473.0700000003</v>
      </c>
      <c r="N135" s="121">
        <f t="shared" ref="N135:R135" si="131">SUM(N123:N134)</f>
        <v>1967258.6400000008</v>
      </c>
      <c r="O135" s="121">
        <f t="shared" si="131"/>
        <v>2665947.8900000006</v>
      </c>
      <c r="P135" s="121">
        <f t="shared" si="131"/>
        <v>236661.33000000002</v>
      </c>
      <c r="Q135" s="121">
        <f t="shared" si="131"/>
        <v>590081.97</v>
      </c>
      <c r="R135" s="121">
        <f t="shared" si="131"/>
        <v>4161523.24</v>
      </c>
      <c r="S135" s="121">
        <f>SUM(T135:X135)</f>
        <v>10466492.24</v>
      </c>
      <c r="T135" s="121">
        <f t="shared" ref="T135:X135" si="132">SUM(T123:T134)</f>
        <v>8440824.3000000007</v>
      </c>
      <c r="U135" s="121">
        <f t="shared" si="132"/>
        <v>1123320.28</v>
      </c>
      <c r="V135" s="121">
        <f t="shared" si="132"/>
        <v>106284.38</v>
      </c>
      <c r="W135" s="121">
        <f t="shared" si="132"/>
        <v>138300</v>
      </c>
      <c r="X135" s="121">
        <f t="shared" si="132"/>
        <v>657763.28</v>
      </c>
      <c r="Y135" s="121">
        <f>SUM(Z135:AD135)</f>
        <v>2773346.47</v>
      </c>
      <c r="Z135" s="121">
        <f t="shared" ref="Z135:AD135" si="133">SUM(Z123:Z134)</f>
        <v>1730329.4300000002</v>
      </c>
      <c r="AA135" s="121">
        <f t="shared" si="133"/>
        <v>502672.88</v>
      </c>
      <c r="AB135" s="121">
        <f t="shared" si="133"/>
        <v>35728.49</v>
      </c>
      <c r="AC135" s="121">
        <f t="shared" si="133"/>
        <v>331500.86</v>
      </c>
      <c r="AD135" s="121">
        <f t="shared" si="133"/>
        <v>173114.81</v>
      </c>
    </row>
  </sheetData>
  <mergeCells count="16">
    <mergeCell ref="A123:A135"/>
    <mergeCell ref="D1:D2"/>
    <mergeCell ref="B3:B5"/>
    <mergeCell ref="A3:A5"/>
    <mergeCell ref="A58:A70"/>
    <mergeCell ref="A110:A122"/>
    <mergeCell ref="A97:A109"/>
    <mergeCell ref="A84:A96"/>
    <mergeCell ref="A71:A83"/>
    <mergeCell ref="Y4:Y5"/>
    <mergeCell ref="M4:M5"/>
    <mergeCell ref="S4:S5"/>
    <mergeCell ref="A45:A57"/>
    <mergeCell ref="A32:A44"/>
    <mergeCell ref="A6:A18"/>
    <mergeCell ref="A19:A31"/>
  </mergeCells>
  <pageMargins left="0.25" right="0.25" top="0.75" bottom="0.75" header="0.3" footer="0.3"/>
  <pageSetup paperSize="9" scale="55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16"/>
  <sheetViews>
    <sheetView zoomScale="80" zoomScaleNormal="80" zoomScaleSheetLayoutView="70" workbookViewId="0">
      <pane xSplit="2" ySplit="3" topLeftCell="C109" activePane="bottomRight" state="frozen"/>
      <selection pane="topRight" activeCell="C1" sqref="C1"/>
      <selection pane="bottomLeft" activeCell="A9" sqref="A9"/>
      <selection pane="bottomRight" activeCell="J137" sqref="J137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13.42578125" style="3" customWidth="1"/>
    <col min="18" max="18" width="16.85546875" style="3" customWidth="1"/>
    <col min="19" max="19" width="13.85546875" style="3" customWidth="1"/>
    <col min="20" max="20" width="13.42578125" style="3" customWidth="1"/>
    <col min="21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63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64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65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66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66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66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66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66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66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66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66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66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66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66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67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60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61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61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61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61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61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61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61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61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61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61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61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62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60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61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61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61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61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61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61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61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61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61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61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61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62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60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61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61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61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61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61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61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61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61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61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61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61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62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68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68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68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68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68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68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68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68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68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68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68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68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68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68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68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68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68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68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68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68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68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68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68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68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68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8" s="3" customFormat="1" x14ac:dyDescent="0.25">
      <c r="A81" s="168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8" s="3" customFormat="1" x14ac:dyDescent="0.25">
      <c r="A82" s="168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8" s="3" customFormat="1" x14ac:dyDescent="0.25">
      <c r="A83" s="168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8" s="3" customFormat="1" x14ac:dyDescent="0.25">
      <c r="A84" s="168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8" s="3" customFormat="1" x14ac:dyDescent="0.25">
      <c r="A85" s="168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8" s="3" customFormat="1" x14ac:dyDescent="0.25">
      <c r="A86" s="168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8" s="3" customFormat="1" x14ac:dyDescent="0.25">
      <c r="A87" s="168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8" s="3" customFormat="1" x14ac:dyDescent="0.25">
      <c r="A88" s="168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8" s="3" customFormat="1" x14ac:dyDescent="0.25">
      <c r="A89" s="168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8" s="3" customFormat="1" x14ac:dyDescent="0.25">
      <c r="A90" s="168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8" s="3" customFormat="1" x14ac:dyDescent="0.25">
      <c r="A91" s="168"/>
      <c r="B91" s="10" t="str">
        <f>IF(L!$A$1=1,L!B214,IF(L!$A$1=2,L!C214,L!D214))</f>
        <v>2021 Tetor</v>
      </c>
      <c r="C91" s="6">
        <f t="shared" si="27"/>
        <v>186716</v>
      </c>
      <c r="D91" s="6"/>
      <c r="E91" s="6"/>
      <c r="F91" s="6"/>
      <c r="G91" s="6"/>
      <c r="H91" s="6"/>
      <c r="I91" s="6">
        <v>63221</v>
      </c>
      <c r="J91" s="6">
        <v>1620</v>
      </c>
      <c r="K91" s="6">
        <v>13163</v>
      </c>
      <c r="L91" s="6">
        <v>7245</v>
      </c>
      <c r="M91" s="6">
        <v>10240</v>
      </c>
      <c r="N91" s="6">
        <v>5591</v>
      </c>
      <c r="O91" s="6">
        <v>10082</v>
      </c>
      <c r="P91" s="6">
        <v>75554</v>
      </c>
    </row>
    <row r="92" spans="1:18" s="3" customFormat="1" x14ac:dyDescent="0.25">
      <c r="A92" s="168"/>
      <c r="B92" s="10" t="str">
        <f>IF(L!$A$1=1,L!B215,IF(L!$A$1=2,L!C215,L!D215))</f>
        <v xml:space="preserve">2021 Nëntor </v>
      </c>
      <c r="C92" s="6">
        <f t="shared" si="27"/>
        <v>185998</v>
      </c>
      <c r="D92" s="6"/>
      <c r="E92" s="6"/>
      <c r="F92" s="6"/>
      <c r="G92" s="6"/>
      <c r="H92" s="6"/>
      <c r="I92" s="6">
        <v>30145</v>
      </c>
      <c r="J92" s="6">
        <v>39205</v>
      </c>
      <c r="K92" s="6"/>
      <c r="L92" s="6">
        <v>6555</v>
      </c>
      <c r="M92" s="6">
        <v>12270</v>
      </c>
      <c r="N92" s="6">
        <v>4506</v>
      </c>
      <c r="O92" s="6">
        <v>10034</v>
      </c>
      <c r="P92" s="6">
        <v>83283</v>
      </c>
    </row>
    <row r="93" spans="1:18" s="3" customFormat="1" x14ac:dyDescent="0.25">
      <c r="A93" s="168"/>
      <c r="B93" s="10" t="str">
        <f>IF(L!$A$1=1,L!B216,IF(L!$A$1=2,L!C216,L!D216))</f>
        <v>2021 Dhjetor</v>
      </c>
      <c r="C93" s="6">
        <f t="shared" si="27"/>
        <v>262725</v>
      </c>
      <c r="D93" s="6"/>
      <c r="E93" s="6"/>
      <c r="F93" s="6"/>
      <c r="G93" s="6"/>
      <c r="H93" s="6"/>
      <c r="I93" s="6">
        <v>60110</v>
      </c>
      <c r="J93" s="6">
        <v>59909</v>
      </c>
      <c r="K93" s="6"/>
      <c r="L93" s="6">
        <v>6293</v>
      </c>
      <c r="M93" s="6">
        <v>12510</v>
      </c>
      <c r="N93" s="6">
        <v>8409</v>
      </c>
      <c r="O93" s="6">
        <v>7521</v>
      </c>
      <c r="P93" s="6">
        <v>107973</v>
      </c>
    </row>
    <row r="94" spans="1:18" s="3" customFormat="1" x14ac:dyDescent="0.25">
      <c r="A94" s="168"/>
      <c r="B94" s="11" t="str">
        <f>IF(L!$A$1=1,L!B217,IF(L!$A$1=2,L!C217,L!D217))</f>
        <v>Gjithsej 2021</v>
      </c>
      <c r="C94" s="12">
        <f>SUM(C82:C93)</f>
        <v>3010096.3</v>
      </c>
      <c r="D94" s="12" t="e">
        <f>E94+#REF!+#REF!</f>
        <v>#REF!</v>
      </c>
      <c r="E94" s="12" t="e">
        <f>F94+K94+#REF!</f>
        <v>#REF!</v>
      </c>
      <c r="F94" s="12">
        <f>SUM(G94:J94)</f>
        <v>1578046.67108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895448.66</v>
      </c>
      <c r="J94" s="7">
        <f t="shared" si="29"/>
        <v>533178.30000000005</v>
      </c>
      <c r="K94" s="7">
        <f t="shared" si="29"/>
        <v>14373</v>
      </c>
      <c r="L94" s="7">
        <f t="shared" si="29"/>
        <v>75211</v>
      </c>
      <c r="M94" s="7">
        <f t="shared" si="29"/>
        <v>130710.5</v>
      </c>
      <c r="N94" s="7">
        <f t="shared" si="29"/>
        <v>58695.5</v>
      </c>
      <c r="O94" s="7">
        <f t="shared" si="29"/>
        <v>61889</v>
      </c>
      <c r="P94" s="7">
        <f t="shared" si="29"/>
        <v>1240590.3399999999</v>
      </c>
    </row>
    <row r="95" spans="1:18" s="3" customFormat="1" x14ac:dyDescent="0.25">
      <c r="A95" s="160">
        <v>2022</v>
      </c>
      <c r="B95" s="10" t="str">
        <f>IF(L!$A$1=1,L!B218,IF(L!$A$1=2,L!C218,L!D218))</f>
        <v>2022 Janar</v>
      </c>
      <c r="C95" s="6">
        <f>I95+J95+K95+L95+M95+N95+O95+P95</f>
        <v>163487.6</v>
      </c>
      <c r="D95" s="6" t="e">
        <f>E95+#REF!+#REF!</f>
        <v>#REF!</v>
      </c>
      <c r="E95" s="6" t="e">
        <f>F95+K95+#REF!</f>
        <v>#REF!</v>
      </c>
      <c r="F95" s="6">
        <f>SUM(G95:J95)</f>
        <v>108604.15695999999</v>
      </c>
      <c r="G95" s="6">
        <v>14207.96803</v>
      </c>
      <c r="H95" s="6">
        <v>14908.58893</v>
      </c>
      <c r="I95" s="6">
        <v>48731.81</v>
      </c>
      <c r="J95" s="6">
        <v>30755.79</v>
      </c>
      <c r="K95" s="5"/>
      <c r="L95" s="6">
        <f>4809+139</f>
        <v>4948</v>
      </c>
      <c r="M95" s="6">
        <v>9960</v>
      </c>
      <c r="N95" s="6">
        <v>2369</v>
      </c>
      <c r="O95" s="6">
        <v>6713</v>
      </c>
      <c r="P95" s="6">
        <v>60010</v>
      </c>
      <c r="R95" s="139"/>
    </row>
    <row r="96" spans="1:18" s="3" customFormat="1" x14ac:dyDescent="0.25">
      <c r="A96" s="161"/>
      <c r="B96" s="10" t="str">
        <f>IF(L!$A$1=1,L!B219,IF(L!$A$1=2,L!C219,L!D219))</f>
        <v>2022 Shkurt</v>
      </c>
      <c r="C96" s="6">
        <f t="shared" ref="C96:C106" si="30">I96+J96+K96+L96+M96+N96+O96+P96</f>
        <v>281664.57</v>
      </c>
      <c r="D96" s="6" t="e">
        <f>E96+#REF!+#REF!</f>
        <v>#REF!</v>
      </c>
      <c r="E96" s="6" t="e">
        <f>F96+K96+#REF!</f>
        <v>#REF!</v>
      </c>
      <c r="F96" s="6">
        <f t="shared" ref="F96:F99" si="31">SUM(G96:J96)</f>
        <v>190772.21269000001</v>
      </c>
      <c r="G96" s="6">
        <v>326.72095999999999</v>
      </c>
      <c r="H96" s="6">
        <v>8580.42173</v>
      </c>
      <c r="I96" s="6">
        <v>56720.56</v>
      </c>
      <c r="J96" s="6">
        <v>125144.51</v>
      </c>
      <c r="K96" s="5"/>
      <c r="L96" s="6">
        <f>5889+431</f>
        <v>6320</v>
      </c>
      <c r="M96" s="6">
        <v>9780.5</v>
      </c>
      <c r="N96" s="6">
        <v>5343</v>
      </c>
      <c r="O96" s="6">
        <v>2784</v>
      </c>
      <c r="P96" s="6">
        <v>75572</v>
      </c>
      <c r="R96" s="139"/>
    </row>
    <row r="97" spans="1:20" s="3" customFormat="1" x14ac:dyDescent="0.25">
      <c r="A97" s="161"/>
      <c r="B97" s="10" t="str">
        <f>IF(L!$A$1=1,L!B220,IF(L!$A$1=2,L!C220,L!D220))</f>
        <v xml:space="preserve">2022 Mars </v>
      </c>
      <c r="C97" s="6">
        <f t="shared" si="30"/>
        <v>244196.57</v>
      </c>
      <c r="D97" s="6" t="e">
        <f>E97+#REF!+#REF!</f>
        <v>#REF!</v>
      </c>
      <c r="E97" s="6" t="e">
        <f>F97+K97+#REF!</f>
        <v>#REF!</v>
      </c>
      <c r="F97" s="6">
        <f t="shared" si="31"/>
        <v>135027.28904999999</v>
      </c>
      <c r="G97" s="6">
        <v>4315.2796500000004</v>
      </c>
      <c r="H97" s="6">
        <v>9753.1394</v>
      </c>
      <c r="I97" s="13">
        <v>95401.97</v>
      </c>
      <c r="J97" s="6">
        <v>25556.9</v>
      </c>
      <c r="K97" s="5">
        <v>3984.2</v>
      </c>
      <c r="L97" s="6">
        <f>5707+494</f>
        <v>6201</v>
      </c>
      <c r="M97" s="6">
        <v>10510</v>
      </c>
      <c r="N97" s="6">
        <v>3515.5</v>
      </c>
      <c r="O97" s="6">
        <v>12626</v>
      </c>
      <c r="P97" s="6">
        <v>86401</v>
      </c>
      <c r="R97" s="139"/>
    </row>
    <row r="98" spans="1:20" s="3" customFormat="1" x14ac:dyDescent="0.25">
      <c r="A98" s="161"/>
      <c r="B98" s="10" t="str">
        <f>IF(L!$A$1=1,L!B221,IF(L!$A$1=2,L!C221,L!D221))</f>
        <v>2022 Prill</v>
      </c>
      <c r="C98" s="6">
        <f t="shared" si="30"/>
        <v>234688.24</v>
      </c>
      <c r="D98" s="6" t="e">
        <f>E98+#REF!+#REF!</f>
        <v>#REF!</v>
      </c>
      <c r="E98" s="6" t="e">
        <f>F98+K98+#REF!</f>
        <v>#REF!</v>
      </c>
      <c r="F98" s="6">
        <f t="shared" si="31"/>
        <v>162698.92897000001</v>
      </c>
      <c r="G98" s="6">
        <v>17455.808850000001</v>
      </c>
      <c r="H98" s="6">
        <v>15820.380120000002</v>
      </c>
      <c r="I98" s="6">
        <v>104514.48</v>
      </c>
      <c r="J98" s="6">
        <v>24908.26</v>
      </c>
      <c r="K98" s="5"/>
      <c r="L98" s="6">
        <f>4697+176</f>
        <v>4873</v>
      </c>
      <c r="M98" s="6">
        <v>7300</v>
      </c>
      <c r="N98" s="6">
        <v>2131.5</v>
      </c>
      <c r="O98" s="6">
        <v>6433</v>
      </c>
      <c r="P98" s="6">
        <v>84528</v>
      </c>
      <c r="R98" s="139"/>
    </row>
    <row r="99" spans="1:20" s="3" customFormat="1" x14ac:dyDescent="0.25">
      <c r="A99" s="161"/>
      <c r="B99" s="10" t="str">
        <f>IF(L!$A$1=1,L!B222,IF(L!$A$1=2,L!C222,L!D222))</f>
        <v>2022 Maj</v>
      </c>
      <c r="C99" s="6">
        <f t="shared" si="30"/>
        <v>220618.78</v>
      </c>
      <c r="D99" s="6" t="e">
        <f>E99+#REF!+#REF!</f>
        <v>#REF!</v>
      </c>
      <c r="E99" s="6" t="e">
        <f>F99+K99+#REF!</f>
        <v>#REF!</v>
      </c>
      <c r="F99" s="6">
        <f t="shared" si="31"/>
        <v>143709.7144</v>
      </c>
      <c r="G99" s="6">
        <v>889.63575000000003</v>
      </c>
      <c r="H99" s="6">
        <v>9382.2986500000006</v>
      </c>
      <c r="I99" s="6">
        <v>81556.77</v>
      </c>
      <c r="J99" s="6">
        <v>51881.01</v>
      </c>
      <c r="K99" s="5"/>
      <c r="L99" s="6">
        <f>5718+222</f>
        <v>5940</v>
      </c>
      <c r="M99" s="6">
        <v>9290</v>
      </c>
      <c r="N99" s="13">
        <v>3771</v>
      </c>
      <c r="O99" s="6">
        <v>6536</v>
      </c>
      <c r="P99" s="6">
        <v>61644</v>
      </c>
      <c r="R99" s="139"/>
    </row>
    <row r="100" spans="1:20" s="3" customFormat="1" x14ac:dyDescent="0.25">
      <c r="A100" s="161"/>
      <c r="B100" s="10" t="str">
        <f>IF(L!$A$1=1,L!B223,IF(L!$A$1=2,L!C223,L!D223))</f>
        <v>2022 Qershor</v>
      </c>
      <c r="C100" s="6">
        <f t="shared" si="30"/>
        <v>183569.47</v>
      </c>
      <c r="D100" s="6" t="e">
        <f>E100+#REF!+#REF!</f>
        <v>#REF!</v>
      </c>
      <c r="E100" s="6" t="e">
        <f>F100+K100+#REF!</f>
        <v>#REF!</v>
      </c>
      <c r="F100" s="6">
        <f>SUM(G100:J100)</f>
        <v>120443.32698000001</v>
      </c>
      <c r="G100" s="6">
        <v>2601.3609299999998</v>
      </c>
      <c r="H100" s="6">
        <v>8699.9960500000016</v>
      </c>
      <c r="I100" s="6">
        <v>74837.320000000007</v>
      </c>
      <c r="J100" s="6">
        <v>34304.65</v>
      </c>
      <c r="K100" s="5">
        <v>1188</v>
      </c>
      <c r="L100" s="6">
        <f>6337+279</f>
        <v>6616</v>
      </c>
      <c r="M100" s="6">
        <v>13750</v>
      </c>
      <c r="N100" s="13">
        <v>4110.5</v>
      </c>
      <c r="O100" s="6">
        <v>4780</v>
      </c>
      <c r="P100" s="6">
        <v>43983</v>
      </c>
      <c r="R100" s="139"/>
    </row>
    <row r="101" spans="1:20" s="3" customFormat="1" x14ac:dyDescent="0.25">
      <c r="A101" s="161"/>
      <c r="B101" s="10" t="str">
        <f>IF(L!$A$1=1,L!B224,IF(L!$A$1=2,L!C224,L!D224))</f>
        <v>2022 Korrik</v>
      </c>
      <c r="C101" s="6">
        <f t="shared" si="30"/>
        <v>199991.93</v>
      </c>
      <c r="D101" s="6" t="e">
        <f>E101+#REF!+#REF!</f>
        <v>#REF!</v>
      </c>
      <c r="E101" s="6" t="e">
        <f>F101+K101+#REF!</f>
        <v>#REF!</v>
      </c>
      <c r="F101" s="6">
        <f>SUM(G101:J101)</f>
        <v>156365.90445</v>
      </c>
      <c r="G101" s="6">
        <v>15748.313610000001</v>
      </c>
      <c r="H101" s="6">
        <v>15119.66084</v>
      </c>
      <c r="I101" s="6">
        <v>86608.72</v>
      </c>
      <c r="J101" s="6">
        <v>38889.21</v>
      </c>
      <c r="K101" s="5">
        <v>332</v>
      </c>
      <c r="L101" s="6">
        <f>7235+479</f>
        <v>7714</v>
      </c>
      <c r="M101" s="6">
        <v>13420</v>
      </c>
      <c r="N101" s="6">
        <v>4600</v>
      </c>
      <c r="O101" s="6">
        <v>1320</v>
      </c>
      <c r="P101" s="6">
        <v>47108</v>
      </c>
      <c r="R101" s="139"/>
    </row>
    <row r="102" spans="1:20" s="3" customFormat="1" x14ac:dyDescent="0.25">
      <c r="A102" s="161"/>
      <c r="B102" s="10" t="str">
        <f>IF(L!$A$1=1,L!B225,IF(L!$A$1=2,L!C225,L!D225))</f>
        <v>2022 Gusht</v>
      </c>
      <c r="C102" s="6">
        <f t="shared" si="30"/>
        <v>273429.49</v>
      </c>
      <c r="D102" s="6" t="e">
        <f>E102+#REF!+#REF!</f>
        <v>#REF!</v>
      </c>
      <c r="E102" s="6" t="e">
        <f>F102+K102+#REF!</f>
        <v>#REF!</v>
      </c>
      <c r="F102" s="6">
        <f>SUM(G102:J102)</f>
        <v>184373.62758</v>
      </c>
      <c r="G102" s="6">
        <v>1608.6910700000001</v>
      </c>
      <c r="H102" s="6">
        <v>10001.44651</v>
      </c>
      <c r="I102" s="6">
        <v>107065.21</v>
      </c>
      <c r="J102" s="6">
        <v>65698.28</v>
      </c>
      <c r="K102" s="5">
        <v>140</v>
      </c>
      <c r="L102" s="6">
        <f>8389+638</f>
        <v>9027</v>
      </c>
      <c r="M102" s="6">
        <v>1460.5</v>
      </c>
      <c r="N102" s="6">
        <v>5976.5</v>
      </c>
      <c r="O102" s="6">
        <v>4120</v>
      </c>
      <c r="P102" s="6">
        <v>79942</v>
      </c>
      <c r="Q102" s="138"/>
      <c r="R102" s="139"/>
    </row>
    <row r="103" spans="1:20" s="3" customFormat="1" x14ac:dyDescent="0.25">
      <c r="A103" s="161"/>
      <c r="B103" s="10" t="str">
        <f>IF(L!$A$1=1,L!B226,IF(L!$A$1=2,L!C226,L!D226))</f>
        <v>2022 Shtator</v>
      </c>
      <c r="C103" s="6">
        <f t="shared" si="30"/>
        <v>174465.81</v>
      </c>
      <c r="D103" s="6"/>
      <c r="E103" s="6"/>
      <c r="F103" s="6"/>
      <c r="G103" s="6"/>
      <c r="H103" s="6"/>
      <c r="I103" s="6">
        <v>64398.29</v>
      </c>
      <c r="J103" s="6">
        <v>68318.02</v>
      </c>
      <c r="K103" s="6">
        <v>1114</v>
      </c>
      <c r="L103" s="6">
        <f>5535+179</f>
        <v>5714</v>
      </c>
      <c r="M103" s="6">
        <v>12070</v>
      </c>
      <c r="N103" s="6">
        <v>4646.5</v>
      </c>
      <c r="O103" s="6">
        <v>1003</v>
      </c>
      <c r="P103" s="6">
        <v>17202</v>
      </c>
      <c r="R103" s="139"/>
    </row>
    <row r="104" spans="1:20" s="3" customFormat="1" x14ac:dyDescent="0.25">
      <c r="A104" s="161"/>
      <c r="B104" s="10" t="str">
        <f>IF(L!$A$1=1,L!B227,IF(L!$A$1=2,L!C227,L!D227))</f>
        <v>2022 Tetor</v>
      </c>
      <c r="C104" s="6">
        <f t="shared" si="30"/>
        <v>169464.16</v>
      </c>
      <c r="D104" s="6"/>
      <c r="E104" s="6"/>
      <c r="F104" s="6"/>
      <c r="G104" s="6"/>
      <c r="H104" s="6"/>
      <c r="I104" s="6">
        <v>80131.25</v>
      </c>
      <c r="J104" s="6">
        <v>1583.81</v>
      </c>
      <c r="K104" s="6"/>
      <c r="L104" s="6">
        <f>6167+523</f>
        <v>6690</v>
      </c>
      <c r="M104" s="6">
        <v>11381</v>
      </c>
      <c r="N104" s="6">
        <v>3335.5</v>
      </c>
      <c r="O104" s="6">
        <v>12229.6</v>
      </c>
      <c r="P104" s="6">
        <v>54113</v>
      </c>
      <c r="R104" s="139"/>
    </row>
    <row r="105" spans="1:20" s="3" customFormat="1" x14ac:dyDescent="0.25">
      <c r="A105" s="161"/>
      <c r="B105" s="10" t="str">
        <f>IF(L!$A$1=1,L!B228,IF(L!$A$1=2,L!C228,L!D228))</f>
        <v xml:space="preserve">2022 Nëntor </v>
      </c>
      <c r="C105" s="6">
        <f t="shared" si="30"/>
        <v>177801.78</v>
      </c>
      <c r="D105" s="6"/>
      <c r="E105" s="6"/>
      <c r="F105" s="6"/>
      <c r="G105" s="6"/>
      <c r="H105" s="6"/>
      <c r="I105" s="6">
        <v>65329.51</v>
      </c>
      <c r="J105" s="6">
        <v>13171.3</v>
      </c>
      <c r="K105" s="6">
        <v>199</v>
      </c>
      <c r="L105" s="6">
        <f>5676+228</f>
        <v>5904</v>
      </c>
      <c r="M105" s="6">
        <v>11970</v>
      </c>
      <c r="N105" s="6">
        <v>5573</v>
      </c>
      <c r="O105" s="6">
        <f>6570+1450+800</f>
        <v>8820</v>
      </c>
      <c r="P105" s="6">
        <v>66834.97</v>
      </c>
    </row>
    <row r="106" spans="1:20" s="3" customFormat="1" x14ac:dyDescent="0.25">
      <c r="A106" s="161"/>
      <c r="B106" s="10" t="str">
        <f>IF(L!$A$1=1,L!B229,IF(L!$A$1=2,L!C229,L!D229))</f>
        <v>2022 Dhjetor</v>
      </c>
      <c r="C106" s="6">
        <f t="shared" si="30"/>
        <v>246445.24</v>
      </c>
      <c r="D106" s="6"/>
      <c r="E106" s="6"/>
      <c r="F106" s="6"/>
      <c r="G106" s="6"/>
      <c r="H106" s="6"/>
      <c r="I106" s="6">
        <v>104326.74</v>
      </c>
      <c r="J106" s="6">
        <v>28612</v>
      </c>
      <c r="K106" s="6">
        <v>3005</v>
      </c>
      <c r="L106" s="6">
        <f>6095+236</f>
        <v>6331</v>
      </c>
      <c r="M106" s="6">
        <v>12370</v>
      </c>
      <c r="N106" s="6">
        <v>6388.5</v>
      </c>
      <c r="O106" s="6">
        <f>6702+230+160</f>
        <v>7092</v>
      </c>
      <c r="P106" s="6">
        <v>78320</v>
      </c>
    </row>
    <row r="107" spans="1:20" s="3" customFormat="1" x14ac:dyDescent="0.25">
      <c r="A107" s="161"/>
      <c r="B107" s="11" t="str">
        <f>IF(L!$A$1=1,L!B230,IF(L!$A$1=2,L!C230,L!D230))</f>
        <v>Gjithsej 2022</v>
      </c>
      <c r="C107" s="12">
        <f>SUM(C95:C106)</f>
        <v>2569823.6399999997</v>
      </c>
      <c r="D107" s="12" t="e">
        <f>E107+#REF!+#REF!</f>
        <v>#REF!</v>
      </c>
      <c r="E107" s="12" t="e">
        <f>F107+K107+#REF!</f>
        <v>#REF!</v>
      </c>
      <c r="F107" s="12">
        <f>SUM(G107:J107)</f>
        <v>1627866.0810799999</v>
      </c>
      <c r="G107" s="7">
        <f t="shared" ref="G107:P107" si="32">SUM(G95:G106)</f>
        <v>57153.778850000002</v>
      </c>
      <c r="H107" s="7">
        <f t="shared" si="32"/>
        <v>92265.932229999991</v>
      </c>
      <c r="I107" s="7">
        <f t="shared" si="32"/>
        <v>969622.63</v>
      </c>
      <c r="J107" s="7">
        <f t="shared" si="32"/>
        <v>508823.74</v>
      </c>
      <c r="K107" s="7">
        <f t="shared" si="32"/>
        <v>9962.2000000000007</v>
      </c>
      <c r="L107" s="7">
        <f t="shared" si="32"/>
        <v>76278</v>
      </c>
      <c r="M107" s="7">
        <f t="shared" si="32"/>
        <v>123262</v>
      </c>
      <c r="N107" s="7">
        <f t="shared" si="32"/>
        <v>51760.5</v>
      </c>
      <c r="O107" s="7">
        <f t="shared" si="32"/>
        <v>74456.600000000006</v>
      </c>
      <c r="P107" s="7">
        <f t="shared" si="32"/>
        <v>755657.97</v>
      </c>
    </row>
    <row r="108" spans="1:20" s="3" customFormat="1" x14ac:dyDescent="0.25">
      <c r="A108" s="161">
        <v>2023</v>
      </c>
      <c r="B108" s="10" t="str">
        <f>IF(L!$A$1=1,L!B231,IF(L!$A$1=2,L!C231,L!D231))</f>
        <v>2023 Janar</v>
      </c>
      <c r="C108" s="6">
        <f>I108+J108+K108+L108+M108+N108+O108+P108</f>
        <v>172800.27000000002</v>
      </c>
      <c r="D108" s="6"/>
      <c r="E108" s="6"/>
      <c r="F108" s="6"/>
      <c r="G108" s="6"/>
      <c r="H108" s="6"/>
      <c r="I108" s="6">
        <v>88411.11</v>
      </c>
      <c r="J108" s="6">
        <v>10604.75</v>
      </c>
      <c r="K108" s="5">
        <v>96</v>
      </c>
      <c r="L108" s="6">
        <v>6431</v>
      </c>
      <c r="M108" s="6">
        <v>11461</v>
      </c>
      <c r="N108" s="6">
        <v>3373.5</v>
      </c>
      <c r="O108" s="6">
        <v>6529</v>
      </c>
      <c r="P108" s="6">
        <v>45893.91</v>
      </c>
      <c r="R108" s="141"/>
      <c r="S108" s="141"/>
      <c r="T108" s="141"/>
    </row>
    <row r="109" spans="1:20" s="3" customFormat="1" x14ac:dyDescent="0.25">
      <c r="A109" s="161"/>
      <c r="B109" s="10" t="str">
        <f>IF(L!$A$1=1,L!B232,IF(L!$A$1=2,L!C232,L!D232))</f>
        <v>2023 Shkurt</v>
      </c>
      <c r="C109" s="6">
        <f t="shared" ref="C109:C119" si="33">I109+J109+K109+L109+M109+N109+O109+P109</f>
        <v>218284.81</v>
      </c>
      <c r="D109" s="6"/>
      <c r="E109" s="6"/>
      <c r="F109" s="6"/>
      <c r="G109" s="6"/>
      <c r="H109" s="6"/>
      <c r="I109" s="6">
        <v>64656</v>
      </c>
      <c r="J109" s="6">
        <v>55144.85</v>
      </c>
      <c r="K109" s="5">
        <v>36</v>
      </c>
      <c r="L109" s="6">
        <v>5734</v>
      </c>
      <c r="M109" s="6">
        <v>10805</v>
      </c>
      <c r="N109" s="6">
        <v>4411.5</v>
      </c>
      <c r="O109" s="6">
        <v>8146</v>
      </c>
      <c r="P109" s="6">
        <v>69351.460000000006</v>
      </c>
      <c r="R109" s="141"/>
      <c r="S109" s="141"/>
      <c r="T109" s="141"/>
    </row>
    <row r="110" spans="1:20" s="3" customFormat="1" x14ac:dyDescent="0.25">
      <c r="A110" s="161"/>
      <c r="B110" s="10" t="str">
        <f>IF(L!$A$1=1,L!B233,IF(L!$A$1=2,L!C233,L!D233))</f>
        <v xml:space="preserve">2023 Mars </v>
      </c>
      <c r="C110" s="6">
        <f t="shared" si="33"/>
        <v>265532.63</v>
      </c>
      <c r="D110" s="6"/>
      <c r="E110" s="6"/>
      <c r="F110" s="6"/>
      <c r="G110" s="6"/>
      <c r="H110" s="6"/>
      <c r="I110" s="13">
        <v>117756.94</v>
      </c>
      <c r="J110" s="6">
        <v>245.28</v>
      </c>
      <c r="K110" s="5">
        <v>108</v>
      </c>
      <c r="L110" s="6">
        <v>5824</v>
      </c>
      <c r="M110" s="6">
        <v>12210</v>
      </c>
      <c r="N110" s="6">
        <v>5126.55</v>
      </c>
      <c r="O110" s="6">
        <v>14916</v>
      </c>
      <c r="P110" s="6">
        <v>109345.86</v>
      </c>
      <c r="R110" s="141"/>
      <c r="S110" s="141"/>
      <c r="T110" s="141"/>
    </row>
    <row r="111" spans="1:20" s="3" customFormat="1" x14ac:dyDescent="0.25">
      <c r="A111" s="161"/>
      <c r="B111" s="10" t="str">
        <f>IF(L!$A$1=1,L!B234,IF(L!$A$1=2,L!C234,L!D234))</f>
        <v>2023 Prill</v>
      </c>
      <c r="C111" s="6">
        <f t="shared" si="33"/>
        <v>294911.73</v>
      </c>
      <c r="D111" s="6"/>
      <c r="E111" s="6"/>
      <c r="F111" s="6"/>
      <c r="G111" s="6"/>
      <c r="H111" s="6"/>
      <c r="I111" s="6">
        <v>170449.47</v>
      </c>
      <c r="J111" s="6">
        <v>7349.83</v>
      </c>
      <c r="K111" s="5">
        <v>50</v>
      </c>
      <c r="L111" s="6">
        <v>4216</v>
      </c>
      <c r="M111" s="6">
        <v>8790</v>
      </c>
      <c r="N111" s="6">
        <v>1958</v>
      </c>
      <c r="O111" s="6">
        <v>7060</v>
      </c>
      <c r="P111" s="6">
        <v>95038.43</v>
      </c>
      <c r="R111" s="141"/>
      <c r="S111" s="141"/>
      <c r="T111" s="141"/>
    </row>
    <row r="112" spans="1:20" s="3" customFormat="1" x14ac:dyDescent="0.25">
      <c r="A112" s="161"/>
      <c r="B112" s="10" t="str">
        <f>IF(L!$A$1=1,L!B235,IF(L!$A$1=2,L!C235,L!D235))</f>
        <v>2023 Maj</v>
      </c>
      <c r="C112" s="6">
        <f t="shared" si="33"/>
        <v>548817.46</v>
      </c>
      <c r="D112" s="6"/>
      <c r="E112" s="6"/>
      <c r="F112" s="6"/>
      <c r="G112" s="6"/>
      <c r="H112" s="6"/>
      <c r="I112" s="6">
        <v>295360.21000000002</v>
      </c>
      <c r="J112" s="6">
        <v>113724.91</v>
      </c>
      <c r="K112" s="5">
        <v>180</v>
      </c>
      <c r="L112" s="6">
        <v>5942</v>
      </c>
      <c r="M112" s="6">
        <v>10890</v>
      </c>
      <c r="N112" s="13">
        <v>4752</v>
      </c>
      <c r="O112" s="6">
        <v>8735</v>
      </c>
      <c r="P112" s="6">
        <v>109233.34</v>
      </c>
      <c r="R112" s="141"/>
      <c r="S112" s="141"/>
      <c r="T112" s="141"/>
    </row>
    <row r="113" spans="1:20" s="3" customFormat="1" x14ac:dyDescent="0.25">
      <c r="A113" s="161"/>
      <c r="B113" s="10" t="str">
        <f>IF(L!$A$1=1,L!B236,IF(L!$A$1=2,L!C236,L!D236))</f>
        <v>2023 Qershor</v>
      </c>
      <c r="C113" s="6">
        <f t="shared" si="33"/>
        <v>224735.37</v>
      </c>
      <c r="D113" s="6"/>
      <c r="E113" s="6"/>
      <c r="F113" s="6"/>
      <c r="G113" s="6"/>
      <c r="H113" s="6"/>
      <c r="I113" s="6">
        <v>67624.81</v>
      </c>
      <c r="J113" s="6">
        <v>71629.070000000007</v>
      </c>
      <c r="K113" s="5">
        <v>150</v>
      </c>
      <c r="L113" s="6">
        <v>5302</v>
      </c>
      <c r="M113" s="6">
        <v>13295.5</v>
      </c>
      <c r="N113" s="13">
        <v>3075.68</v>
      </c>
      <c r="O113" s="6">
        <v>10228</v>
      </c>
      <c r="P113" s="6">
        <v>53430.31</v>
      </c>
      <c r="R113" s="141"/>
      <c r="S113" s="141"/>
      <c r="T113" s="141"/>
    </row>
    <row r="114" spans="1:20" s="3" customFormat="1" x14ac:dyDescent="0.25">
      <c r="A114" s="161"/>
      <c r="B114" s="10" t="str">
        <f>IF(L!$A$1=1,L!B237,IF(L!$A$1=2,L!C237,L!D237))</f>
        <v>2023 Korrik</v>
      </c>
      <c r="C114" s="6">
        <f t="shared" si="33"/>
        <v>199855.35999999999</v>
      </c>
      <c r="D114" s="6"/>
      <c r="E114" s="6"/>
      <c r="F114" s="6"/>
      <c r="G114" s="6"/>
      <c r="H114" s="6"/>
      <c r="I114" s="6">
        <v>86286.26</v>
      </c>
      <c r="J114" s="6">
        <v>4048.6</v>
      </c>
      <c r="K114" s="5">
        <v>-72</v>
      </c>
      <c r="L114" s="6">
        <v>7914</v>
      </c>
      <c r="M114" s="6">
        <v>15200</v>
      </c>
      <c r="N114" s="6">
        <v>3573.5</v>
      </c>
      <c r="O114" s="6">
        <v>2030</v>
      </c>
      <c r="P114" s="6">
        <v>80875</v>
      </c>
      <c r="R114" s="141"/>
      <c r="S114" s="141"/>
      <c r="T114" s="141"/>
    </row>
    <row r="115" spans="1:20" s="3" customFormat="1" x14ac:dyDescent="0.25">
      <c r="A115" s="161"/>
      <c r="B115" s="10" t="str">
        <f>IF(L!$A$1=1,L!B238,IF(L!$A$1=2,L!C238,L!D238))</f>
        <v>2023 Gusht</v>
      </c>
      <c r="C115" s="6">
        <f t="shared" si="33"/>
        <v>300179.37</v>
      </c>
      <c r="D115" s="6"/>
      <c r="E115" s="6"/>
      <c r="F115" s="6"/>
      <c r="G115" s="6"/>
      <c r="H115" s="6"/>
      <c r="I115" s="6">
        <v>120313.56</v>
      </c>
      <c r="J115" s="6">
        <v>27978.31</v>
      </c>
      <c r="K115" s="5"/>
      <c r="L115" s="6">
        <v>9103</v>
      </c>
      <c r="M115" s="6">
        <v>16680</v>
      </c>
      <c r="N115" s="6">
        <v>7886.5</v>
      </c>
      <c r="O115" s="6">
        <v>3750</v>
      </c>
      <c r="P115" s="6">
        <v>114468</v>
      </c>
      <c r="Q115" s="138"/>
      <c r="R115" s="139"/>
    </row>
    <row r="116" spans="1:20" s="3" customFormat="1" x14ac:dyDescent="0.25">
      <c r="A116" s="161"/>
      <c r="B116" s="10" t="str">
        <f>IF(L!$A$1=1,L!B239,IF(L!$A$1=2,L!C239,L!D239))</f>
        <v>2023 Shtator</v>
      </c>
      <c r="C116" s="6">
        <f t="shared" si="33"/>
        <v>220758.83</v>
      </c>
      <c r="D116" s="6"/>
      <c r="E116" s="6"/>
      <c r="F116" s="6"/>
      <c r="G116" s="6"/>
      <c r="H116" s="6"/>
      <c r="I116" s="6">
        <v>106339.94</v>
      </c>
      <c r="J116" s="6">
        <v>31949.15</v>
      </c>
      <c r="K116" s="6">
        <v>100</v>
      </c>
      <c r="L116" s="6">
        <v>5998</v>
      </c>
      <c r="M116" s="6">
        <v>12750</v>
      </c>
      <c r="N116" s="6">
        <v>5637.5</v>
      </c>
      <c r="O116" s="6">
        <v>6221.05</v>
      </c>
      <c r="P116" s="6">
        <v>51763.19</v>
      </c>
      <c r="R116" s="139"/>
    </row>
    <row r="117" spans="1:20" s="3" customFormat="1" x14ac:dyDescent="0.25">
      <c r="A117" s="161"/>
      <c r="B117" s="10" t="str">
        <f>IF(L!$A$1=1,L!B240,IF(L!$A$1=2,L!C240,L!D240))</f>
        <v>2023 Tetor</v>
      </c>
      <c r="C117" s="6">
        <f t="shared" si="33"/>
        <v>328719.01</v>
      </c>
      <c r="D117" s="6"/>
      <c r="E117" s="6"/>
      <c r="F117" s="6"/>
      <c r="G117" s="6"/>
      <c r="H117" s="6"/>
      <c r="I117" s="6">
        <v>72931.679999999993</v>
      </c>
      <c r="J117" s="6">
        <v>111311.83</v>
      </c>
      <c r="K117" s="6">
        <v>90</v>
      </c>
      <c r="L117" s="6">
        <v>5601</v>
      </c>
      <c r="M117" s="6">
        <v>13530</v>
      </c>
      <c r="N117" s="6">
        <v>4877.5</v>
      </c>
      <c r="O117" s="6">
        <v>17077</v>
      </c>
      <c r="P117" s="6">
        <v>103300</v>
      </c>
      <c r="R117" s="139"/>
      <c r="S117" s="139"/>
    </row>
    <row r="118" spans="1:20" s="3" customFormat="1" x14ac:dyDescent="0.25">
      <c r="A118" s="161"/>
      <c r="B118" s="10" t="str">
        <f>IF(L!$A$1=1,L!B241,IF(L!$A$1=2,L!C241,L!D241))</f>
        <v xml:space="preserve">2023 Nëntor </v>
      </c>
      <c r="C118" s="6">
        <f t="shared" si="33"/>
        <v>326168.64</v>
      </c>
      <c r="D118" s="6"/>
      <c r="E118" s="6"/>
      <c r="F118" s="6"/>
      <c r="G118" s="6"/>
      <c r="H118" s="6"/>
      <c r="I118" s="6">
        <v>45931.07</v>
      </c>
      <c r="J118" s="6">
        <v>182439.12</v>
      </c>
      <c r="K118" s="6">
        <v>10119.5</v>
      </c>
      <c r="L118" s="6">
        <v>4443</v>
      </c>
      <c r="M118" s="6">
        <v>12950</v>
      </c>
      <c r="N118" s="6">
        <v>5613.5</v>
      </c>
      <c r="O118" s="6">
        <v>12189.78</v>
      </c>
      <c r="P118" s="6">
        <v>52482.67</v>
      </c>
      <c r="S118" s="139"/>
    </row>
    <row r="119" spans="1:20" s="3" customFormat="1" x14ac:dyDescent="0.25">
      <c r="A119" s="161"/>
      <c r="B119" s="10" t="str">
        <f>IF(L!$A$1=1,L!B242,IF(L!$A$1=2,L!C242,L!D242))</f>
        <v>2023 Dhjetor</v>
      </c>
      <c r="C119" s="6">
        <f t="shared" si="33"/>
        <v>306636</v>
      </c>
      <c r="D119" s="6"/>
      <c r="E119" s="6"/>
      <c r="F119" s="6"/>
      <c r="G119" s="6"/>
      <c r="H119" s="6"/>
      <c r="I119" s="6">
        <v>32538</v>
      </c>
      <c r="J119" s="6">
        <v>155066</v>
      </c>
      <c r="K119" s="6">
        <v>120</v>
      </c>
      <c r="L119" s="6">
        <v>5102</v>
      </c>
      <c r="M119" s="6">
        <v>13040</v>
      </c>
      <c r="N119" s="6">
        <v>6935</v>
      </c>
      <c r="O119" s="6">
        <v>12565</v>
      </c>
      <c r="P119" s="6">
        <v>81270</v>
      </c>
    </row>
    <row r="120" spans="1:20" s="3" customFormat="1" x14ac:dyDescent="0.25">
      <c r="A120" s="162"/>
      <c r="B120" s="11" t="str">
        <f>IF(L!$A$1=1,L!B243,IF(L!$A$1=2,L!C243,L!D243))</f>
        <v>Gjithsej 2023</v>
      </c>
      <c r="C120" s="12">
        <f>SUM(C108:C119)</f>
        <v>3407399.48</v>
      </c>
      <c r="D120" s="12" t="e">
        <f>E120+#REF!+#REF!</f>
        <v>#REF!</v>
      </c>
      <c r="E120" s="12" t="e">
        <f>F120+K120+#REF!</f>
        <v>#REF!</v>
      </c>
      <c r="F120" s="12">
        <f>SUM(G120:J120)</f>
        <v>2040090.75</v>
      </c>
      <c r="G120" s="7">
        <f t="shared" ref="G120:P120" si="34">SUM(G108:G119)</f>
        <v>0</v>
      </c>
      <c r="H120" s="7">
        <f t="shared" si="34"/>
        <v>0</v>
      </c>
      <c r="I120" s="7">
        <f t="shared" si="34"/>
        <v>1268599.05</v>
      </c>
      <c r="J120" s="7">
        <f t="shared" si="34"/>
        <v>771491.7</v>
      </c>
      <c r="K120" s="7">
        <f t="shared" si="34"/>
        <v>10977.5</v>
      </c>
      <c r="L120" s="7">
        <f t="shared" si="34"/>
        <v>71610</v>
      </c>
      <c r="M120" s="7">
        <f t="shared" si="34"/>
        <v>151601.5</v>
      </c>
      <c r="N120" s="7">
        <f t="shared" si="34"/>
        <v>57220.729999999996</v>
      </c>
      <c r="O120" s="7">
        <f t="shared" si="34"/>
        <v>109446.83</v>
      </c>
      <c r="P120" s="7">
        <f t="shared" si="34"/>
        <v>966452.17</v>
      </c>
    </row>
    <row r="121" spans="1:20" s="3" customFormat="1" x14ac:dyDescent="0.25">
      <c r="A121" s="160">
        <v>2024</v>
      </c>
      <c r="B121" s="10" t="s">
        <v>879</v>
      </c>
      <c r="C121" s="6">
        <f>I121+J121+K121+L121+M121+N121+O121+P121</f>
        <v>143589.83000000002</v>
      </c>
      <c r="D121" s="6"/>
      <c r="E121" s="6"/>
      <c r="F121" s="6"/>
      <c r="G121" s="6"/>
      <c r="H121" s="6"/>
      <c r="I121" s="6">
        <v>32734.500000000004</v>
      </c>
      <c r="J121" s="6">
        <v>1067.5899999999999</v>
      </c>
      <c r="K121" s="5">
        <v>90</v>
      </c>
      <c r="L121" s="6">
        <v>4988</v>
      </c>
      <c r="M121" s="6">
        <v>12870</v>
      </c>
      <c r="N121" s="6">
        <v>4530</v>
      </c>
      <c r="O121" s="6">
        <v>10881</v>
      </c>
      <c r="P121" s="6">
        <v>76428.740000000005</v>
      </c>
      <c r="R121" s="147"/>
    </row>
    <row r="122" spans="1:20" s="3" customFormat="1" x14ac:dyDescent="0.25">
      <c r="A122" s="161"/>
      <c r="B122" s="10" t="s">
        <v>878</v>
      </c>
      <c r="C122" s="6">
        <f t="shared" ref="C122:C132" si="35">I122+J122+K122+L122+M122+N122+O122+P122</f>
        <v>229490.91000000003</v>
      </c>
      <c r="D122" s="6"/>
      <c r="E122" s="6"/>
      <c r="F122" s="6"/>
      <c r="G122" s="6"/>
      <c r="H122" s="6"/>
      <c r="I122" s="150">
        <v>38924.30000000001</v>
      </c>
      <c r="J122" s="6">
        <v>82229.350000000006</v>
      </c>
      <c r="K122" s="5">
        <v>90</v>
      </c>
      <c r="L122" s="6">
        <v>3302</v>
      </c>
      <c r="M122" s="6">
        <v>12370</v>
      </c>
      <c r="N122" s="6">
        <v>5013</v>
      </c>
      <c r="O122" s="6">
        <v>13409</v>
      </c>
      <c r="P122" s="6">
        <v>74153.259999999995</v>
      </c>
    </row>
    <row r="123" spans="1:20" s="3" customFormat="1" x14ac:dyDescent="0.25">
      <c r="A123" s="161"/>
      <c r="B123" s="10" t="s">
        <v>880</v>
      </c>
      <c r="C123" s="6">
        <f t="shared" si="35"/>
        <v>238405.53999999998</v>
      </c>
      <c r="D123" s="6"/>
      <c r="E123" s="6"/>
      <c r="F123" s="6"/>
      <c r="G123" s="6"/>
      <c r="H123" s="6"/>
      <c r="I123" s="6">
        <v>44633.609999999993</v>
      </c>
      <c r="J123" s="6">
        <v>47348.94</v>
      </c>
      <c r="K123" s="5">
        <v>16</v>
      </c>
      <c r="L123" s="6">
        <v>2314</v>
      </c>
      <c r="M123" s="6">
        <v>12640</v>
      </c>
      <c r="N123" s="6">
        <v>3857.5</v>
      </c>
      <c r="O123" s="6">
        <v>26606</v>
      </c>
      <c r="P123" s="6">
        <v>100989.48999999999</v>
      </c>
    </row>
    <row r="124" spans="1:20" s="3" customFormat="1" x14ac:dyDescent="0.25">
      <c r="A124" s="161"/>
      <c r="B124" s="10" t="s">
        <v>881</v>
      </c>
      <c r="C124" s="6">
        <f t="shared" si="35"/>
        <v>314808.86</v>
      </c>
      <c r="D124" s="6"/>
      <c r="E124" s="6"/>
      <c r="F124" s="6"/>
      <c r="G124" s="6"/>
      <c r="H124" s="6"/>
      <c r="I124" s="6">
        <v>163579.05000000002</v>
      </c>
      <c r="J124" s="6">
        <v>35728.06</v>
      </c>
      <c r="K124" s="5"/>
      <c r="L124" s="6">
        <v>2289</v>
      </c>
      <c r="M124" s="6">
        <v>13020</v>
      </c>
      <c r="N124" s="6">
        <v>4770.5</v>
      </c>
      <c r="O124" s="6">
        <v>14043</v>
      </c>
      <c r="P124" s="6">
        <v>81379.249999999971</v>
      </c>
    </row>
    <row r="125" spans="1:20" s="3" customFormat="1" x14ac:dyDescent="0.25">
      <c r="A125" s="161"/>
      <c r="B125" s="10" t="s">
        <v>882</v>
      </c>
      <c r="C125" s="6">
        <f t="shared" si="35"/>
        <v>244358.8</v>
      </c>
      <c r="D125" s="6"/>
      <c r="E125" s="6"/>
      <c r="F125" s="6"/>
      <c r="G125" s="6"/>
      <c r="H125" s="6"/>
      <c r="I125" s="6">
        <v>68579.61</v>
      </c>
      <c r="J125" s="6">
        <v>89622.83</v>
      </c>
      <c r="K125" s="5">
        <v>8</v>
      </c>
      <c r="L125" s="6">
        <v>2329</v>
      </c>
      <c r="M125" s="6">
        <v>12530</v>
      </c>
      <c r="N125" s="13">
        <v>5088</v>
      </c>
      <c r="O125" s="6">
        <v>13133</v>
      </c>
      <c r="P125" s="6">
        <v>53068.36</v>
      </c>
    </row>
    <row r="126" spans="1:20" s="3" customFormat="1" x14ac:dyDescent="0.25">
      <c r="A126" s="161"/>
      <c r="B126" s="10" t="s">
        <v>883</v>
      </c>
      <c r="C126" s="6">
        <f t="shared" si="35"/>
        <v>226548.13999999998</v>
      </c>
      <c r="D126" s="6"/>
      <c r="E126" s="6"/>
      <c r="F126" s="6"/>
      <c r="G126" s="6"/>
      <c r="H126" s="6"/>
      <c r="I126" s="148">
        <v>21797.939999999995</v>
      </c>
      <c r="J126" s="148">
        <v>94150.11</v>
      </c>
      <c r="K126" s="149"/>
      <c r="L126" s="148">
        <v>2265</v>
      </c>
      <c r="M126" s="148">
        <v>13795</v>
      </c>
      <c r="N126" s="148">
        <v>4210</v>
      </c>
      <c r="O126" s="148">
        <v>11796</v>
      </c>
      <c r="P126" s="148">
        <v>78534.09</v>
      </c>
    </row>
    <row r="127" spans="1:20" s="3" customFormat="1" x14ac:dyDescent="0.25">
      <c r="A127" s="161"/>
      <c r="B127" s="10" t="s">
        <v>884</v>
      </c>
      <c r="C127" s="6">
        <f t="shared" si="35"/>
        <v>170098.06</v>
      </c>
      <c r="D127" s="6"/>
      <c r="E127" s="6"/>
      <c r="F127" s="6"/>
      <c r="G127" s="6"/>
      <c r="H127" s="6"/>
      <c r="I127" s="148">
        <v>35723.179999999993</v>
      </c>
      <c r="J127" s="148">
        <v>26215.38</v>
      </c>
      <c r="K127" s="149">
        <v>180</v>
      </c>
      <c r="L127" s="148">
        <v>3101</v>
      </c>
      <c r="M127" s="148">
        <v>17680</v>
      </c>
      <c r="N127" s="148">
        <v>5281.5</v>
      </c>
      <c r="O127" s="148">
        <v>1718</v>
      </c>
      <c r="P127" s="148">
        <v>80199</v>
      </c>
    </row>
    <row r="128" spans="1:20" s="3" customFormat="1" x14ac:dyDescent="0.25">
      <c r="A128" s="161"/>
      <c r="B128" s="10" t="s">
        <v>885</v>
      </c>
      <c r="C128" s="6">
        <f t="shared" si="35"/>
        <v>244730.44</v>
      </c>
      <c r="D128" s="6"/>
      <c r="E128" s="6"/>
      <c r="F128" s="6"/>
      <c r="G128" s="6"/>
      <c r="H128" s="6"/>
      <c r="I128" s="148">
        <v>48622.589999999989</v>
      </c>
      <c r="J128" s="148">
        <v>98198.11</v>
      </c>
      <c r="K128" s="149"/>
      <c r="L128" s="148">
        <v>3981</v>
      </c>
      <c r="M128" s="148">
        <v>16225</v>
      </c>
      <c r="N128" s="148">
        <v>5657</v>
      </c>
      <c r="O128" s="148">
        <v>7075</v>
      </c>
      <c r="P128" s="148">
        <v>64971.74000000002</v>
      </c>
    </row>
    <row r="129" spans="1:18" s="3" customFormat="1" x14ac:dyDescent="0.25">
      <c r="A129" s="161"/>
      <c r="B129" s="10" t="s">
        <v>886</v>
      </c>
      <c r="C129" s="6">
        <f t="shared" si="35"/>
        <v>244986.40000000002</v>
      </c>
      <c r="D129" s="6"/>
      <c r="E129" s="6"/>
      <c r="F129" s="6"/>
      <c r="G129" s="6"/>
      <c r="H129" s="6"/>
      <c r="I129" s="6">
        <v>64497.52</v>
      </c>
      <c r="J129" s="6">
        <v>68637.650000000009</v>
      </c>
      <c r="K129" s="6"/>
      <c r="L129" s="6">
        <v>2597</v>
      </c>
      <c r="M129" s="6">
        <v>14490</v>
      </c>
      <c r="N129" s="6">
        <v>5202</v>
      </c>
      <c r="O129" s="6">
        <v>13380</v>
      </c>
      <c r="P129" s="6">
        <v>76182.23</v>
      </c>
    </row>
    <row r="130" spans="1:18" s="3" customFormat="1" x14ac:dyDescent="0.25">
      <c r="A130" s="161"/>
      <c r="B130" s="10" t="s">
        <v>887</v>
      </c>
      <c r="C130" s="6">
        <f t="shared" si="35"/>
        <v>248601.40000000002</v>
      </c>
      <c r="D130" s="6"/>
      <c r="E130" s="6"/>
      <c r="F130" s="6"/>
      <c r="G130" s="6"/>
      <c r="H130" s="6"/>
      <c r="I130" s="6">
        <v>46626.68</v>
      </c>
      <c r="J130" s="6">
        <v>14272.3</v>
      </c>
      <c r="K130" s="6">
        <v>16.5</v>
      </c>
      <c r="L130" s="6">
        <v>2480</v>
      </c>
      <c r="M130" s="6">
        <v>15730</v>
      </c>
      <c r="N130" s="6">
        <v>5302.5</v>
      </c>
      <c r="O130" s="6">
        <v>22666</v>
      </c>
      <c r="P130" s="6">
        <v>141507.42000000001</v>
      </c>
    </row>
    <row r="131" spans="1:18" s="3" customFormat="1" x14ac:dyDescent="0.25">
      <c r="A131" s="161"/>
      <c r="B131" s="10" t="s">
        <v>888</v>
      </c>
      <c r="C131" s="6">
        <f t="shared" si="35"/>
        <v>189621.96000000002</v>
      </c>
      <c r="D131" s="6"/>
      <c r="E131" s="6"/>
      <c r="F131" s="6"/>
      <c r="G131" s="6"/>
      <c r="H131" s="6"/>
      <c r="I131" s="6">
        <v>26959.349999999995</v>
      </c>
      <c r="J131" s="6">
        <v>18951.84</v>
      </c>
      <c r="K131" s="6">
        <v>250</v>
      </c>
      <c r="L131" s="6">
        <v>2636.5</v>
      </c>
      <c r="M131" s="6">
        <v>13550</v>
      </c>
      <c r="N131" s="6">
        <v>5148</v>
      </c>
      <c r="O131" s="6">
        <v>13276</v>
      </c>
      <c r="P131" s="6">
        <v>108850.27</v>
      </c>
    </row>
    <row r="132" spans="1:18" s="3" customFormat="1" x14ac:dyDescent="0.25">
      <c r="A132" s="161"/>
      <c r="B132" s="10" t="s">
        <v>889</v>
      </c>
      <c r="C132" s="6">
        <f t="shared" si="35"/>
        <v>0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8" s="3" customFormat="1" x14ac:dyDescent="0.25">
      <c r="A133" s="162"/>
      <c r="B133" s="11" t="s">
        <v>890</v>
      </c>
      <c r="C133" s="12">
        <f>SUM(C121:C132)</f>
        <v>2495240.34</v>
      </c>
      <c r="D133" s="12" t="e">
        <f>E133+#REF!+#REF!</f>
        <v>#REF!</v>
      </c>
      <c r="E133" s="12" t="e">
        <f>F133+K133+#REF!</f>
        <v>#REF!</v>
      </c>
      <c r="F133" s="12">
        <f>SUM(G133:J133)</f>
        <v>1169100.49</v>
      </c>
      <c r="G133" s="7">
        <f t="shared" ref="G133:P133" si="36">SUM(G121:G132)</f>
        <v>0</v>
      </c>
      <c r="H133" s="7">
        <f t="shared" si="36"/>
        <v>0</v>
      </c>
      <c r="I133" s="7">
        <f t="shared" si="36"/>
        <v>592678.32999999996</v>
      </c>
      <c r="J133" s="7">
        <f t="shared" si="36"/>
        <v>576422.16</v>
      </c>
      <c r="K133" s="7">
        <f t="shared" si="36"/>
        <v>650.5</v>
      </c>
      <c r="L133" s="7">
        <f t="shared" si="36"/>
        <v>32282.5</v>
      </c>
      <c r="M133" s="7">
        <f t="shared" si="36"/>
        <v>154900</v>
      </c>
      <c r="N133" s="7">
        <f t="shared" si="36"/>
        <v>54060</v>
      </c>
      <c r="O133" s="7">
        <f t="shared" si="36"/>
        <v>147983</v>
      </c>
      <c r="P133" s="7">
        <f t="shared" si="36"/>
        <v>936263.85</v>
      </c>
    </row>
    <row r="134" spans="1:18" s="3" customFormat="1" x14ac:dyDescent="0.25">
      <c r="G134" s="4"/>
      <c r="H134" s="4"/>
      <c r="I134" s="4"/>
      <c r="J134" s="4"/>
      <c r="K134" s="4"/>
    </row>
    <row r="135" spans="1:18" s="3" customFormat="1" x14ac:dyDescent="0.25">
      <c r="G135" s="4"/>
      <c r="H135" s="4"/>
      <c r="I135" s="4"/>
      <c r="J135" s="4"/>
      <c r="K135" s="4"/>
      <c r="R135" s="139"/>
    </row>
    <row r="136" spans="1:18" s="3" customFormat="1" x14ac:dyDescent="0.25">
      <c r="G136" s="4"/>
      <c r="H136" s="4"/>
      <c r="I136" s="4"/>
      <c r="J136" s="4"/>
      <c r="K136" s="4"/>
    </row>
    <row r="137" spans="1:18" s="3" customFormat="1" x14ac:dyDescent="0.25">
      <c r="G137" s="4"/>
      <c r="H137" s="4"/>
      <c r="I137" s="4"/>
      <c r="J137" s="4"/>
      <c r="K137" s="4"/>
    </row>
    <row r="138" spans="1:18" s="3" customFormat="1" x14ac:dyDescent="0.25">
      <c r="G138" s="4"/>
      <c r="H138" s="4"/>
      <c r="I138" s="4"/>
      <c r="J138" s="4"/>
      <c r="K138" s="4"/>
    </row>
    <row r="139" spans="1:18" s="3" customFormat="1" x14ac:dyDescent="0.25">
      <c r="G139" s="4"/>
      <c r="H139" s="4"/>
      <c r="I139" s="4"/>
      <c r="J139" s="4"/>
      <c r="K139" s="4"/>
    </row>
    <row r="140" spans="1:18" s="3" customFormat="1" x14ac:dyDescent="0.25">
      <c r="G140" s="4"/>
      <c r="H140" s="4"/>
      <c r="I140" s="4"/>
      <c r="J140" s="4"/>
      <c r="K140" s="4"/>
      <c r="Q140" s="139"/>
    </row>
    <row r="141" spans="1:18" s="3" customFormat="1" x14ac:dyDescent="0.25">
      <c r="G141" s="4"/>
      <c r="H141" s="4"/>
      <c r="I141" s="4"/>
      <c r="J141" s="4"/>
      <c r="K141" s="4"/>
    </row>
    <row r="142" spans="1:18" s="3" customFormat="1" x14ac:dyDescent="0.25">
      <c r="G142" s="4"/>
      <c r="H142" s="4"/>
      <c r="I142" s="4"/>
      <c r="J142" s="4"/>
      <c r="K142" s="4"/>
    </row>
    <row r="143" spans="1:18" s="3" customFormat="1" x14ac:dyDescent="0.25">
      <c r="G143" s="4"/>
      <c r="H143" s="4"/>
      <c r="I143" s="4"/>
      <c r="J143" s="4"/>
      <c r="K143" s="4"/>
    </row>
    <row r="144" spans="1:18" s="3" customFormat="1" x14ac:dyDescent="0.25">
      <c r="G144" s="4"/>
      <c r="H144" s="4"/>
      <c r="I144" s="4"/>
      <c r="J144" s="4"/>
      <c r="K144" s="4"/>
    </row>
    <row r="145" spans="7:11" s="3" customFormat="1" x14ac:dyDescent="0.25">
      <c r="G145" s="4"/>
      <c r="H145" s="4"/>
      <c r="I145" s="4"/>
      <c r="J145" s="4"/>
      <c r="K145" s="4"/>
    </row>
    <row r="146" spans="7:11" s="3" customFormat="1" x14ac:dyDescent="0.25">
      <c r="G146" s="4"/>
      <c r="H146" s="4"/>
      <c r="I146" s="4"/>
      <c r="J146" s="4"/>
      <c r="K146" s="4"/>
    </row>
    <row r="147" spans="7:11" s="3" customFormat="1" x14ac:dyDescent="0.25">
      <c r="G147" s="4"/>
      <c r="H147" s="4"/>
      <c r="I147" s="4"/>
      <c r="J147" s="4"/>
      <c r="K147" s="4"/>
    </row>
    <row r="148" spans="7:11" s="3" customFormat="1" x14ac:dyDescent="0.25">
      <c r="G148" s="4"/>
      <c r="H148" s="4"/>
      <c r="I148" s="4"/>
      <c r="J148" s="4"/>
      <c r="K148" s="4"/>
    </row>
    <row r="149" spans="7:11" s="3" customFormat="1" x14ac:dyDescent="0.25">
      <c r="G149" s="4"/>
      <c r="H149" s="4"/>
      <c r="I149" s="4"/>
      <c r="J149" s="4"/>
      <c r="K149" s="4"/>
    </row>
    <row r="150" spans="7:11" s="3" customFormat="1" x14ac:dyDescent="0.25">
      <c r="G150" s="4"/>
      <c r="H150" s="4"/>
      <c r="I150" s="4"/>
      <c r="J150" s="4"/>
      <c r="K150" s="4"/>
    </row>
    <row r="151" spans="7:11" s="3" customFormat="1" x14ac:dyDescent="0.25">
      <c r="G151" s="4"/>
      <c r="H151" s="4"/>
      <c r="I151" s="4"/>
      <c r="J151" s="4"/>
      <c r="K151" s="4"/>
    </row>
    <row r="152" spans="7:11" s="3" customFormat="1" x14ac:dyDescent="0.25">
      <c r="G152" s="4"/>
      <c r="H152" s="4"/>
      <c r="I152" s="4"/>
      <c r="J152" s="4"/>
      <c r="K152" s="4"/>
    </row>
    <row r="153" spans="7:11" s="3" customFormat="1" x14ac:dyDescent="0.25">
      <c r="G153" s="4"/>
      <c r="H153" s="4"/>
      <c r="I153" s="4"/>
      <c r="J153" s="4"/>
      <c r="K153" s="4"/>
    </row>
    <row r="154" spans="7:11" s="3" customFormat="1" x14ac:dyDescent="0.25">
      <c r="G154" s="4"/>
      <c r="H154" s="4"/>
      <c r="I154" s="4"/>
      <c r="J154" s="4"/>
      <c r="K154" s="4"/>
    </row>
    <row r="155" spans="7:11" s="3" customFormat="1" x14ac:dyDescent="0.25">
      <c r="G155" s="4"/>
      <c r="H155" s="4"/>
      <c r="I155" s="4"/>
      <c r="J155" s="4"/>
      <c r="K155" s="4"/>
    </row>
    <row r="156" spans="7:11" s="3" customFormat="1" x14ac:dyDescent="0.25">
      <c r="G156" s="4"/>
      <c r="H156" s="4"/>
      <c r="I156" s="4"/>
      <c r="J156" s="4"/>
      <c r="K156" s="4"/>
    </row>
    <row r="157" spans="7:11" s="3" customFormat="1" x14ac:dyDescent="0.25">
      <c r="G157" s="4"/>
      <c r="H157" s="4"/>
      <c r="I157" s="4"/>
      <c r="J157" s="4"/>
      <c r="K157" s="4"/>
    </row>
    <row r="158" spans="7:11" s="3" customFormat="1" x14ac:dyDescent="0.25">
      <c r="G158" s="4"/>
      <c r="H158" s="4"/>
      <c r="I158" s="4"/>
      <c r="J158" s="4"/>
      <c r="K158" s="4"/>
    </row>
    <row r="159" spans="7:11" s="3" customFormat="1" x14ac:dyDescent="0.25">
      <c r="G159" s="4"/>
      <c r="H159" s="4"/>
      <c r="I159" s="4"/>
      <c r="J159" s="4"/>
      <c r="K159" s="4"/>
    </row>
    <row r="160" spans="7:11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  <row r="207" spans="7:11" s="3" customFormat="1" x14ac:dyDescent="0.25">
      <c r="G207" s="4"/>
      <c r="H207" s="4"/>
      <c r="I207" s="4"/>
      <c r="J207" s="4"/>
      <c r="K207" s="4"/>
    </row>
    <row r="208" spans="7:11" s="3" customFormat="1" x14ac:dyDescent="0.25">
      <c r="G208" s="4"/>
      <c r="H208" s="4"/>
      <c r="I208" s="4"/>
      <c r="J208" s="4"/>
      <c r="K208" s="4"/>
    </row>
    <row r="209" spans="7:11" s="3" customFormat="1" x14ac:dyDescent="0.25">
      <c r="G209" s="4"/>
      <c r="H209" s="4"/>
      <c r="I209" s="4"/>
      <c r="J209" s="4"/>
      <c r="K209" s="4"/>
    </row>
    <row r="210" spans="7:11" s="3" customFormat="1" x14ac:dyDescent="0.25">
      <c r="G210" s="4"/>
      <c r="H210" s="4"/>
      <c r="I210" s="4"/>
      <c r="J210" s="4"/>
      <c r="K210" s="4"/>
    </row>
    <row r="211" spans="7:11" s="3" customFormat="1" x14ac:dyDescent="0.25">
      <c r="G211" s="4"/>
      <c r="H211" s="4"/>
      <c r="I211" s="4"/>
      <c r="J211" s="4"/>
      <c r="K211" s="4"/>
    </row>
    <row r="212" spans="7:11" s="3" customFormat="1" x14ac:dyDescent="0.25">
      <c r="G212" s="4"/>
      <c r="H212" s="4"/>
      <c r="I212" s="4"/>
      <c r="J212" s="4"/>
      <c r="K212" s="4"/>
    </row>
    <row r="213" spans="7:11" s="3" customFormat="1" x14ac:dyDescent="0.25">
      <c r="G213" s="4"/>
      <c r="H213" s="4"/>
      <c r="I213" s="4"/>
      <c r="J213" s="4"/>
      <c r="K213" s="4"/>
    </row>
    <row r="214" spans="7:11" s="3" customFormat="1" x14ac:dyDescent="0.25">
      <c r="G214" s="4"/>
      <c r="H214" s="4"/>
      <c r="I214" s="4"/>
      <c r="J214" s="4"/>
      <c r="K214" s="4"/>
    </row>
    <row r="215" spans="7:11" s="3" customFormat="1" x14ac:dyDescent="0.25">
      <c r="G215" s="4"/>
      <c r="H215" s="4"/>
      <c r="I215" s="4"/>
      <c r="J215" s="4"/>
      <c r="K215" s="4"/>
    </row>
    <row r="216" spans="7:11" s="3" customFormat="1" x14ac:dyDescent="0.25">
      <c r="G216" s="4"/>
      <c r="H216" s="4"/>
      <c r="I216" s="4"/>
      <c r="J216" s="4"/>
      <c r="K216" s="4"/>
    </row>
  </sheetData>
  <mergeCells count="11">
    <mergeCell ref="A121:A133"/>
    <mergeCell ref="A108:A120"/>
    <mergeCell ref="D1:D2"/>
    <mergeCell ref="A17:A29"/>
    <mergeCell ref="A4:A16"/>
    <mergeCell ref="A43:A55"/>
    <mergeCell ref="A95:A107"/>
    <mergeCell ref="A82:A94"/>
    <mergeCell ref="A69:A81"/>
    <mergeCell ref="A56:A68"/>
    <mergeCell ref="A30:A42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Abit Abiti</cp:lastModifiedBy>
  <cp:lastPrinted>2024-02-29T14:35:39Z</cp:lastPrinted>
  <dcterms:created xsi:type="dcterms:W3CDTF">2015-03-12T08:53:45Z</dcterms:created>
  <dcterms:modified xsi:type="dcterms:W3CDTF">2024-12-05T12:43:00Z</dcterms:modified>
</cp:coreProperties>
</file>